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.xml" ContentType="application/vnd.openxmlformats-officedocument.spreadsheetml.table+xml"/>
  <Override PartName="/xl/tables/table50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28800" windowHeight="12495" tabRatio="500" firstSheet="2" activeTab="3"/>
  </bookViews>
  <sheets>
    <sheet name="Orientações" sheetId="1" state="hidden" r:id="rId1"/>
    <sheet name="Servente" sheetId="2" state="hidden" r:id="rId2"/>
    <sheet name="Vigilância DIURNA" sheetId="6" r:id="rId3"/>
    <sheet name="Vigilância NOTURNA" sheetId="11" r:id="rId4"/>
    <sheet name="Uniformes" sheetId="12" r:id="rId5"/>
    <sheet name="Materiais" sheetId="14" r:id="rId6"/>
    <sheet name="Equipamentos" sheetId="15" r:id="rId7"/>
    <sheet name="RESUMO" sheetId="13" r:id="rId8"/>
  </sheet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  <definedName name="_xlnm.Print_Area" localSheetId="3">'Vigilância NOTURNA'!$A$1:$D$150</definedName>
    <definedName name="_xlnm.Print_Area" localSheetId="2">'Vigilância DIURNA'!$A$1:$D$150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<sst xmlns="http://schemas.openxmlformats.org/spreadsheetml/2006/main" count="938" uniqueCount="307">
  <si>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</si>
  <si>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</si>
  <si>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</si>
  <si>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</si>
  <si>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</si>
  <si>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</si>
  <si>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</si>
  <si>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</si>
  <si>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</si>
  <si>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</si>
  <si>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</si>
  <si>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</si>
  <si>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</si>
  <si>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</si>
  <si>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</si>
  <si>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</si>
  <si>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</si>
  <si>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</si>
  <si>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</si>
  <si>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</si>
  <si>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</si>
  <si>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</si>
  <si>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</si>
  <si>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</si>
  <si>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</si>
  <si>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</si>
  <si>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</si>
  <si>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</si>
  <si>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</si>
  <si>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</si>
  <si>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</si>
  <si>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</si>
  <si>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</si>
  <si>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</si>
  <si>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</si>
  <si>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</si>
  <si>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</si>
  <si>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</si>
  <si>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</si>
  <si>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</si>
  <si>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</si>
  <si>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</si>
  <si>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</si>
  <si>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</si>
  <si>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</si>
  <si>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</si>
  <si>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</si>
  <si>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</si>
  <si>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</si>
  <si>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</si>
  <si>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</si>
  <si>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</si>
  <si>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</si>
  <si>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</si>
  <si>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</si>
  <si>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</si>
  <si>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</si>
  <si>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</si>
  <si>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</si>
  <si>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</si>
  <si>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</si>
  <si>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</si>
  <si>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</si>
  <si>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</si>
  <si>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</si>
  <si>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</si>
  <si>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</si>
  <si>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</si>
  <si>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</si>
  <si>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</si>
  <si>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</si>
  <si>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</si>
  <si>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</si>
  <si>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</si>
  <si>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</si>
  <si>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</si>
  <si>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</si>
  <si>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</si>
  <si>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</si>
  <si>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</si>
  <si>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</si>
  <si>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</si>
  <si>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</si>
  <si>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</si>
  <si>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</si>
  <si>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</si>
  <si>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</si>
  <si>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</si>
  <si>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</si>
  <si>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</si>
  <si>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</si>
  <si>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</si>
  <si>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</si>
  <si>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</si>
  <si>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</si>
  <si>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</si>
  <si>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</si>
  <si>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</si>
  <si>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</si>
  <si>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</si>
  <si>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</si>
  <si>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</si>
  <si>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</si>
  <si>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</si>
  <si>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</si>
  <si>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</si>
  <si>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</si>
  <si>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</si>
  <si>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</si>
  <si>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</si>
  <si>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</si>
  <si>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</si>
  <si>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</si>
  <si>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</si>
  <si>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</si>
  <si>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</si>
  <si>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</si>
  <si>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</si>
  <si>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</si>
  <si>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</si>
  <si>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</si>
  <si>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</si>
  <si>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</si>
  <si>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</si>
  <si>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</si>
  <si>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</si>
  <si>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</si>
  <si>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</si>
  <si>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</si>
  <si>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</si>
  <si>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</si>
  <si>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</si>
  <si>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</si>
  <si>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</si>
  <si>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</si>
  <si>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</si>
  <si>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</si>
  <si>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</si>
  <si>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</si>
  <si>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</si>
  <si>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</si>
  <si>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</si>
  <si>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</si>
  <si>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</si>
  <si>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</si>
  <si>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</si>
  <si>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</si>
  <si>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</si>
  <si>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</si>
  <si>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</si>
  <si>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</si>
  <si>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</si>
  <si>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</si>
  <si>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</si>
  <si>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</si>
  <si>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</si>
  <si>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</si>
  <si>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</si>
  <si>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</si>
  <si>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</si>
  <si>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</si>
  <si>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</si>
  <si>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</si>
  <si>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</si>
  <si>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</si>
  <si>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</si>
  <si>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</si>
  <si>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</si>
  <si>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</si>
  <si>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</si>
  <si>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</si>
  <si>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</si>
  <si>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</si>
  <si>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</si>
  <si>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</si>
  <si>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</si>
  <si>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</si>
  <si>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</si>
  <si>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23381.003916.2022-01</t>
    </r>
  </si>
  <si>
    <t>Licitação n°</t>
  </si>
  <si>
    <t>009/2022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</si>
  <si>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</si>
  <si>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</si>
  <si>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</si>
  <si>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</si>
  <si>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</si>
  <si>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</si>
  <si>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PB000205/2022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</si>
  <si>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</si>
  <si>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</si>
  <si>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</si>
  <si>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</si>
  <si>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</si>
  <si>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</si>
  <si>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Vigilante</t>
  </si>
  <si>
    <t>Posto 12 x 36 horas</t>
  </si>
  <si>
    <t>MTE</t>
  </si>
  <si>
    <t>5173-30</t>
  </si>
  <si>
    <t>SINDESP-PB</t>
  </si>
  <si>
    <t>1º DE MARÇO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</si>
  <si>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</si>
  <si>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</si>
  <si>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</si>
  <si>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</si>
  <si>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</si>
  <si>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</si>
  <si>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</si>
  <si>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</si>
  <si>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Dia do Vigilante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</si>
  <si>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</si>
  <si>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</si>
  <si>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</si>
  <si>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</si>
  <si>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</si>
  <si>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</si>
  <si>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</si>
  <si>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</si>
  <si>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</si>
  <si>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Uniformes e Equipamento de Proteção Individual - EPI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</si>
  <si>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</si>
  <si>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</si>
  <si>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</si>
  <si>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</si>
  <si>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</si>
  <si>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</si>
  <si>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</si>
  <si>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</si>
  <si>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</si>
  <si>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</si>
  <si>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</si>
  <si>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</si>
  <si>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Subtotal (A + B + C + D + E)</t>
  </si>
  <si>
    <t>VALOR TOTAL POR EMPREGADO</t>
  </si>
  <si>
    <t>VALOR TOTAL DO POSTO</t>
  </si>
  <si>
    <t>UNIFORMES</t>
  </si>
  <si>
    <t>VIGILANTE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</si>
  <si>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</si>
  <si>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</si>
  <si>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</si>
  <si>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</si>
  <si>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</si>
  <si>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</si>
  <si>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</si>
  <si>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</si>
  <si>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CAMISA TIPO SOCIAL</t>
  </si>
  <si>
    <t>Camisa, TIPO SOCIAL, em tecido Oxford, em cor clara, mangas curtas, com cortes adequados a cada proﬁssional, masculino ou feminino, deve possuir, ainda, identificação da Contratada.</t>
  </si>
  <si>
    <t>Unidade</t>
  </si>
  <si>
    <t>CAMISA TIPO T-SHIRT</t>
  </si>
  <si>
    <t>Camisa, TIPO T-Shirt / Básica; Corte: Masculino, Composição: 100% algodão Fio 30.1, Gramatura 160g/m², cor branca. Gola e punhos em ribana - Composição: Elastano: 5%, Poliester: 95%, gramatura mínima de 210 g/m². Aplicação da marca frontal – logo da Contratada.</t>
  </si>
  <si>
    <t>CALÇA</t>
  </si>
  <si>
    <t>Calça, TIPO SOCIAL, com presilhas para cinto, em cor escura, em tecido Oxford, com cortes adequados a cada profissional, masculino ou feminino.</t>
  </si>
  <si>
    <t>CALÇADO</t>
  </si>
  <si>
    <t>COTURNO - Material: Couro integral com tratamento hidrofugado resistente a penetração de água.Manta de isolamento térmico e áreas de articulação e conforto em cordura e courovestuário. Proteção de borracha em toda extremidade.</t>
  </si>
  <si>
    <t>MEIA</t>
  </si>
  <si>
    <t>MEIA - Modelo cano alto , composição: 88% Algodão, 2% Lycra e 10% Poliamida, na cor preta.</t>
  </si>
  <si>
    <t>Par</t>
  </si>
  <si>
    <t>CINTO</t>
  </si>
  <si>
    <t>CINTO - Material: Couro, ou em tecido 100% lã, constituído de uma face na cor preta, sem costura, fivela em metal, com garra regulável.</t>
  </si>
  <si>
    <t>JAPONA / JAQUETA</t>
  </si>
  <si>
    <t>JAPONA / JAQUETA - Material: Tecido Oxford, na cor preta ou usual da empresa,  forrada e impermeável; deve possuir, ainda, identificação da Contratada.</t>
  </si>
  <si>
    <t>CAPA PARA CHUVA</t>
  </si>
  <si>
    <t>CAPA PARA CHUVA - Material plástico, cor preta com faixas fluorescentes.</t>
  </si>
  <si>
    <t>CRACHÁ FUNCIONAL</t>
  </si>
  <si>
    <t>CRACHÁ DE IDENTIFICAÇÃO - Material: Plástico rígido, contendo logomarca da empresa, foto e nome completo do funcionário.</t>
  </si>
  <si>
    <t>MATERIAIS</t>
  </si>
  <si>
    <t>TIPO</t>
  </si>
  <si>
    <t>QUANTIDADE</t>
  </si>
  <si>
    <t>VALOR
UNITÁRIO
ESTIMADO
(R$)</t>
  </si>
  <si>
    <t>VALOR
TOTAL
ESTIMADO
(R$)</t>
  </si>
  <si>
    <t>LIVRO DE OCORRÊNCIAS</t>
  </si>
  <si>
    <t>LIVRO TERMO DE OCORRÊNCIA - Capa dura, medindo aproximadamente 22x33 cm, com 50 folhas.</t>
  </si>
  <si>
    <t>CANETA</t>
  </si>
  <si>
    <t>CANETA ESFEROGRÁFICA -  Material plástico, ponteira esfera de tugstênio, tipo escrita média, cor tinta AZUL, características adicionais: atóxica, corpo cilindrico</t>
  </si>
  <si>
    <t>PRANCHETA</t>
  </si>
  <si>
    <t>PRANCHETA - Material: Acrílico, com prendedor metálico, formato oficio 2, dimensões 216 x 330 mm</t>
  </si>
  <si>
    <t>COLDRE TÁTICO</t>
  </si>
  <si>
    <t>COLDRE TÁTICO - Especificações: Possui trava de retenção com saque rápido; Injetado em um único bloco sem emendas; Sistema de catraca rotativa, possibilita a rotação do coldre; Revestimento interno em flocagem, proporciona maior proteção, diminui o atrito entre arma e equipamento, evitando o desgaste de ambos; Fitas emborrachadas, altamente aderentes, evitando que a plataforma altere sua posição; Fivelas com trava tripla, para maior segurança; Fixador de cinto removível, passagem do cinto de até 55 mm. Itens inclusos: 01 Coldre Revolver; 01 Plataforma de Perna; 01 Passador de cinto I e 01 Chave de Ajuste. Dimensões Aproximadas - Comprimento: 110 mm x Altura: 140 mm x Espessura: 55 mm x Peso: 0.396 g.</t>
  </si>
  <si>
    <t>BALEIRO DE CINTO</t>
  </si>
  <si>
    <t>BALEIRO DE CINTO - Material: Couro Legítimo; Aplicação: Uso no Cinto; Cor: Preta; Características Adicionais: com opção de duas recargas de munição.</t>
  </si>
  <si>
    <t>CAPA COLETE BALÍSTICO</t>
  </si>
  <si>
    <t>Confeccionada em RIP STOP 100% poliéster, modelo slim, fechamento em velcro original, fecho engate rápido (tic Tac), forração em tecido aerado spacer 100% poliéster com tratamento antimicrobiano e fitas modulares retardante a chamas de alta resistência.
Inserção de painéis balísticos Nível lI-A.
Possui alça de arrasto em fita de 50mm com resistência de 200kg.</t>
  </si>
  <si>
    <t>LANTERNA</t>
  </si>
  <si>
    <t>Lanterna holofote recarregável de LED - Voltagem: 110/220v -50/60Hz; Led durável com super brilho branco; Longo alcance de 500 metros; Potência: 30W 6000 lumens; Tensão da Bateria: 5.5V.; Autonomia da Bateria: 10 Horas; Tempo de Recarga: 8-12 Horas; Dimensões Aproximadas: 24,9 cm x 16,2 cm</t>
  </si>
  <si>
    <t>MUNIÇÃO</t>
  </si>
  <si>
    <t>Munição calibre 38 (ou outro legalmente permitido para a função a ser desempenhada) - Blister com 10 (dez) unidades</t>
  </si>
  <si>
    <t>IBUTTON</t>
  </si>
  <si>
    <t>Ibutton Para Vigia Bastão - Ronda. Embalagem com 12 Unidades</t>
  </si>
  <si>
    <t>CUSTO TOTAL ESTIMADO DOS MATERIAIS POR EMPREGADO</t>
  </si>
  <si>
    <t>EQUIPAMENTOS</t>
  </si>
  <si>
    <t>BASTÃO ELETRÔNICO</t>
  </si>
  <si>
    <t>Bastão de Ronda Eletrônica - Estrutura em metal revestimento em borracha resistente com proteção IP67. Acompanha software de cadastramento e gerenciamento de dados, permitindo a identificação de tags e emissão de relatórios de ronda. Dimensões Aproximadas: 148mm x 47mm x 30mm. Autonomia para até 6.000 registros</t>
  </si>
  <si>
    <t>COLETE BALÍSTICO</t>
  </si>
  <si>
    <t>Colete Balístico - Nível Mínimo de Segurança II-A</t>
  </si>
  <si>
    <t>REVÓLVER CALIBRE 38</t>
  </si>
  <si>
    <t>REVÓLVER CAL. 38: Tipo Funcionamento: Repetição; Quantidade Raias: 6; Calibre: 38 SPL; Tipo Acabamento: Oxidado Fosco; Quantidade Canos: 1; Espécie da Arma: revolver; Tipo de Ação: sa-ação simples; Sistema de Segurança: Barra de Percurssão; Dimensões Aproximadas - Comprimento Cano: 4 pol; Comprimento Total: 226 mm x Altura Total: 134 mm x Largura: 34 mm x Peso Arma: 1,015g</t>
  </si>
  <si>
    <t>MANUTENÇÃO MENSAL</t>
  </si>
  <si>
    <t>DEPRECIAÇÃO MENSAL</t>
  </si>
  <si>
    <t>CUSTO TOTAL ESTIMADO DOS EQUIPAMENTOS POR EMPREGADO</t>
  </si>
  <si>
    <t>Manutenção de Equipamentos: O valor do insumo Manutenção de Equipamentos foi obtido adotando-se a metodologia das Tabelas de Composições de Preços para Orçamentação, publicação da Editora Pini, para equipamentos de pequeno porte (aproximadamente 1,5HP), com utilização, em média, de 83h/mês, em conjunto com o Manual de Custos Rodoviários do DNIT, Volume 1, de 2003:
M= k x 83 x V0/VU, onde:
M = custo de manutenção mensal
K = 0,6 (conforme adotado pelo Sicro2 /DNIT – Manual de Custos Rodoviários – Volume 1, página 83);
VU = Vida Útil = 10.000 horas
V0 = Valor de aquisição do equipamento Assim:
Manutenção Mensal = [Valor total dos equipamentos x 0,5% a.m.];
Depreciação de Equipamentos: Para o cálculo do insumo Depreciação de Equipamentos, adotou-se vida útil de 8 anos e valor residual de 20%, com base no Manual de Custos Rodoviários do DNIT, volume 1, de 2003.
Depreciação Mensal = [Valor total dos equipamentos x (1,00-0,20)]/(12x8);</t>
  </si>
  <si>
    <t>PLANILHA RESUMO</t>
  </si>
  <si>
    <t>Quantidade</t>
  </si>
  <si>
    <t>VIGÊNCIA (Mês)</t>
  </si>
  <si>
    <t>VALOR UNITÁRIO MÁXIMO ACEITÁVEL</t>
  </si>
  <si>
    <t>VALOR TOTAL MÁXIMO ACEITÁVEL</t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</si>
  <si>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VIGILANTE ARMADO - CBO: 5173-30</t>
    </r>
    <r>
      <rPr>
        <sz val="11"/>
        <color theme="1"/>
        <rFont val="Calibri"/>
        <charset val="134"/>
        <scheme val="minor"/>
      </rPr>
      <t xml:space="preserve">, em jornada de 12 (doze) horas </t>
    </r>
    <r>
      <rPr>
        <b/>
        <sz val="11"/>
        <color theme="4" tint="-0.25"/>
        <rFont val="Calibri"/>
        <charset val="134"/>
        <scheme val="minor"/>
      </rPr>
      <t>DIURNAS</t>
    </r>
    <r>
      <rPr>
        <sz val="11"/>
        <color theme="1"/>
        <rFont val="Calibri"/>
        <charset val="134"/>
        <scheme val="minor"/>
      </rPr>
      <t>, de segunda-feira a domingo, envolvendo 2 (dois) vigilantes em turnos de 12 (doze) x 36 (trinta e seis) horas.</t>
    </r>
  </si>
  <si>
    <t>POSTO</t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</si>
  <si>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VIGILANTE ARMADO - CBO: 5173-30</t>
    </r>
    <r>
      <rPr>
        <sz val="11"/>
        <color theme="1"/>
        <rFont val="Calibri"/>
        <charset val="134"/>
        <scheme val="minor"/>
      </rPr>
      <t xml:space="preserve">, em jornada de 12 (doze) horas </t>
    </r>
    <r>
      <rPr>
        <b/>
        <sz val="11"/>
        <color theme="4" tint="-0.25"/>
        <rFont val="Calibri"/>
        <charset val="134"/>
        <scheme val="minor"/>
      </rPr>
      <t>NOTURNAS</t>
    </r>
    <r>
      <rPr>
        <sz val="11"/>
        <color theme="1"/>
        <rFont val="Calibri"/>
        <charset val="134"/>
        <scheme val="minor"/>
      </rPr>
      <t>, de segunda-feira a domingo, envolvendo 2 (dois) vigilantes em turnos de 12 (doze) x 36 (trinta e seis) horas.</t>
    </r>
  </si>
</sst>
</file>

<file path=xl/styles.xml><?xml version="1.0" encoding="utf-8"?>
<styleSheet xmlns="http://schemas.openxmlformats.org/spreadsheetml/2006/main">
  <numFmts count="11">
    <numFmt numFmtId="176" formatCode="_-* #,##0.00_-;\-* #,##0.00_-;_-* &quot;-&quot;??_-;_-@_-"/>
    <numFmt numFmtId="177" formatCode="&quot;R$&quot;#,##0.00_);[Red]&quot;(R$&quot;#,##0.00\)"/>
    <numFmt numFmtId="178" formatCode="_-&quot;R$ &quot;* #,##0.00_-;&quot;-R$ &quot;* #,##0.00_-;_-&quot;R$ &quot;* \-??_-;_-@_-"/>
    <numFmt numFmtId="179" formatCode="_-* #,##0_-;\-* #,##0_-;_-* &quot;-&quot;_-;_-@_-"/>
    <numFmt numFmtId="180" formatCode="_-&quot;R$&quot;* #,##0_-;\-&quot;R$&quot;* #,##0_-;_-&quot;R$&quot;* &quot;-&quot;_-;_-@_-"/>
    <numFmt numFmtId="181" formatCode="&quot;R$ &quot;#,##0.00"/>
    <numFmt numFmtId="182" formatCode="&quot;R$&quot;\ #,##0.00_);[Red]\(&quot;R$&quot;\ #,##0.00\)"/>
    <numFmt numFmtId="183" formatCode="&quot;R$&quot;#,##0.00_);[Red]\(&quot;R$&quot;#,##0.00\)"/>
    <numFmt numFmtId="184" formatCode="0.00_ "/>
    <numFmt numFmtId="185" formatCode="0.0000_ "/>
    <numFmt numFmtId="186" formatCode="&quot;R$&quot;#,##0.00"/>
  </numFmts>
  <fonts count="48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b/>
      <i/>
      <sz val="11"/>
      <color rgb="FF000000"/>
      <name val="Calibri"/>
      <charset val="134"/>
    </font>
    <font>
      <b/>
      <sz val="11"/>
      <color theme="0"/>
      <name val="Calibri"/>
      <charset val="134"/>
      <scheme val="minor"/>
    </font>
    <font>
      <b/>
      <sz val="11"/>
      <name val="Calibri"/>
      <charset val="134"/>
      <scheme val="minor"/>
    </font>
    <font>
      <b/>
      <sz val="11"/>
      <color rgb="FF000000"/>
      <name val="Calibri"/>
      <charset val="134"/>
      <scheme val="minor"/>
    </font>
    <font>
      <sz val="11"/>
      <name val="Calibri"/>
      <charset val="134"/>
      <scheme val="minor"/>
    </font>
    <font>
      <i/>
      <sz val="11"/>
      <name val="Calibri"/>
      <charset val="134"/>
      <scheme val="minor"/>
    </font>
    <font>
      <b/>
      <i/>
      <sz val="11"/>
      <color rgb="FF000000"/>
      <name val="Calibri"/>
      <charset val="134"/>
      <scheme val="minor"/>
    </font>
    <font>
      <sz val="11"/>
      <color rgb="FF000000"/>
      <name val="Calibri"/>
      <charset val="134"/>
      <scheme val="minor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sz val="9"/>
      <color rgb="FF000000"/>
      <name val="Calibri"/>
      <charset val="134"/>
    </font>
    <font>
      <i/>
      <sz val="11"/>
      <color rgb="FF000000"/>
      <name val="Calibri"/>
      <charset val="134"/>
    </font>
    <font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0"/>
      <name val="Arial"/>
      <charset val="134"/>
    </font>
    <font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theme="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0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theme="4" tint="-0.25"/>
      <name val="Calibri"/>
      <charset val="134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45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</fills>
  <borders count="25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80" fontId="25" fillId="0" borderId="0" applyBorder="0" applyAlignment="0" applyProtection="0"/>
    <xf numFmtId="179" fontId="25" fillId="0" borderId="0" applyBorder="0" applyAlignment="0" applyProtection="0"/>
    <xf numFmtId="0" fontId="23" fillId="21" borderId="0" applyNumberFormat="0" applyBorder="0" applyAlignment="0" applyProtection="0">
      <alignment vertical="center"/>
    </xf>
    <xf numFmtId="9" fontId="0" fillId="0" borderId="0" applyBorder="0" applyProtection="0"/>
    <xf numFmtId="0" fontId="26" fillId="0" borderId="18" applyNumberFormat="0" applyFill="0" applyAlignment="0" applyProtection="0">
      <alignment vertical="center"/>
    </xf>
    <xf numFmtId="0" fontId="24" fillId="16" borderId="17" applyNumberFormat="0" applyAlignment="0" applyProtection="0">
      <alignment vertical="center"/>
    </xf>
    <xf numFmtId="176" fontId="25" fillId="0" borderId="0" applyBorder="0" applyAlignment="0" applyProtection="0"/>
    <xf numFmtId="0" fontId="23" fillId="22" borderId="0" applyNumberFormat="0" applyBorder="0" applyAlignment="0" applyProtection="0">
      <alignment vertical="center"/>
    </xf>
    <xf numFmtId="178" fontId="0" fillId="0" borderId="0" applyBorder="0" applyProtection="0"/>
    <xf numFmtId="0" fontId="30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33" fillId="27" borderId="20" applyNumberFormat="0" applyFont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36" fillId="0" borderId="21" applyNumberFormat="0" applyFill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8" fillId="37" borderId="22" applyNumberFormat="0" applyAlignment="0" applyProtection="0">
      <alignment vertical="center"/>
    </xf>
    <xf numFmtId="0" fontId="39" fillId="38" borderId="23" applyNumberFormat="0" applyAlignment="0" applyProtection="0">
      <alignment vertical="center"/>
    </xf>
    <xf numFmtId="0" fontId="41" fillId="38" borderId="22" applyNumberFormat="0" applyAlignment="0" applyProtection="0">
      <alignment vertical="center"/>
    </xf>
    <xf numFmtId="0" fontId="40" fillId="0" borderId="24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42" fillId="39" borderId="0" applyNumberFormat="0" applyBorder="0" applyAlignment="0" applyProtection="0">
      <alignment vertical="center"/>
    </xf>
    <xf numFmtId="0" fontId="43" fillId="4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3" fillId="44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</cellStyleXfs>
  <cellXfs count="151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justify" vertical="center" wrapText="1"/>
    </xf>
    <xf numFmtId="181" fontId="2" fillId="0" borderId="0" xfId="0" applyNumberFormat="1" applyFont="1" applyFill="1" applyAlignment="1">
      <alignment horizontal="center" vertical="center" wrapText="1"/>
    </xf>
    <xf numFmtId="182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0" fontId="2" fillId="0" borderId="0" xfId="0" applyFont="1" applyFill="1" applyAlignment="1"/>
    <xf numFmtId="182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0" fontId="3" fillId="3" borderId="0" xfId="0" applyFont="1" applyFill="1" applyAlignment="1">
      <alignment horizontal="center"/>
    </xf>
    <xf numFmtId="0" fontId="4" fillId="4" borderId="0" xfId="0" applyFont="1" applyFill="1" applyAlignment="1">
      <alignment horizontal="center"/>
    </xf>
    <xf numFmtId="0" fontId="5" fillId="5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183" fontId="6" fillId="6" borderId="0" xfId="0" applyNumberFormat="1" applyFont="1" applyFill="1" applyAlignment="1">
      <alignment horizontal="center" vertical="center" wrapText="1"/>
    </xf>
    <xf numFmtId="183" fontId="6" fillId="0" borderId="0" xfId="0" applyNumberFormat="1" applyFont="1" applyAlignment="1">
      <alignment horizontal="center" vertical="center" wrapText="1"/>
    </xf>
    <xf numFmtId="0" fontId="8" fillId="7" borderId="0" xfId="0" applyFont="1" applyFill="1" applyAlignment="1">
      <alignment horizontal="center"/>
    </xf>
    <xf numFmtId="183" fontId="8" fillId="7" borderId="0" xfId="0" applyNumberFormat="1" applyFont="1" applyFill="1" applyAlignment="1">
      <alignment horizontal="center"/>
    </xf>
    <xf numFmtId="183" fontId="8" fillId="7" borderId="0" xfId="0" applyNumberFormat="1" applyFont="1" applyFill="1" applyAlignment="1"/>
    <xf numFmtId="0" fontId="8" fillId="8" borderId="0" xfId="0" applyFont="1" applyFill="1" applyAlignment="1">
      <alignment horizontal="center"/>
    </xf>
    <xf numFmtId="183" fontId="8" fillId="8" borderId="0" xfId="0" applyNumberFormat="1" applyFont="1" applyFill="1" applyAlignment="1">
      <alignment horizontal="center"/>
    </xf>
    <xf numFmtId="183" fontId="8" fillId="8" borderId="0" xfId="0" applyNumberFormat="1" applyFont="1" applyFill="1" applyAlignment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9" fillId="3" borderId="0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0" fontId="10" fillId="4" borderId="0" xfId="0" applyFont="1" applyFill="1" applyAlignment="1">
      <alignment horizontal="center"/>
    </xf>
    <xf numFmtId="0" fontId="10" fillId="4" borderId="0" xfId="0" applyFont="1" applyFill="1" applyAlignment="1">
      <alignment horizontal="center" vertical="center" wrapText="1"/>
    </xf>
    <xf numFmtId="0" fontId="10" fillId="4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justify" wrapText="1"/>
    </xf>
    <xf numFmtId="183" fontId="12" fillId="6" borderId="0" xfId="0" applyNumberFormat="1" applyFont="1" applyFill="1" applyAlignment="1">
      <alignment horizontal="center" vertical="center" wrapText="1"/>
    </xf>
    <xf numFmtId="183" fontId="12" fillId="0" borderId="0" xfId="0" applyNumberFormat="1" applyFont="1" applyAlignment="1">
      <alignment horizontal="center" vertical="center" wrapText="1"/>
    </xf>
    <xf numFmtId="0" fontId="14" fillId="7" borderId="0" xfId="0" applyFont="1" applyFill="1" applyAlignment="1">
      <alignment horizontal="center"/>
    </xf>
    <xf numFmtId="183" fontId="14" fillId="7" borderId="0" xfId="0" applyNumberFormat="1" applyFont="1" applyFill="1" applyAlignment="1">
      <alignment horizontal="center"/>
    </xf>
    <xf numFmtId="0" fontId="15" fillId="0" borderId="0" xfId="0" applyFont="1"/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6" fillId="9" borderId="4" xfId="0" applyFont="1" applyFill="1" applyBorder="1" applyAlignment="1">
      <alignment horizontal="center"/>
    </xf>
    <xf numFmtId="0" fontId="5" fillId="10" borderId="5" xfId="0" applyFont="1" applyFill="1" applyBorder="1" applyAlignment="1">
      <alignment horizontal="left" wrapText="1"/>
    </xf>
    <xf numFmtId="0" fontId="5" fillId="11" borderId="0" xfId="0" applyFont="1" applyFill="1" applyBorder="1" applyAlignment="1">
      <alignment horizontal="left" wrapText="1"/>
    </xf>
    <xf numFmtId="49" fontId="0" fillId="11" borderId="0" xfId="0" applyNumberFormat="1" applyFont="1" applyFill="1" applyBorder="1" applyAlignment="1">
      <alignment horizontal="left"/>
    </xf>
    <xf numFmtId="0" fontId="0" fillId="11" borderId="0" xfId="0" applyFont="1" applyFill="1" applyBorder="1" applyAlignment="1">
      <alignment horizontal="left"/>
    </xf>
    <xf numFmtId="0" fontId="5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7" fillId="9" borderId="6" xfId="0" applyFont="1" applyFill="1" applyBorder="1" applyAlignment="1">
      <alignment horizontal="center"/>
    </xf>
    <xf numFmtId="0" fontId="0" fillId="10" borderId="7" xfId="0" applyFont="1" applyFill="1" applyBorder="1" applyAlignment="1">
      <alignment horizontal="center"/>
    </xf>
    <xf numFmtId="0" fontId="0" fillId="10" borderId="8" xfId="0" applyFont="1" applyFill="1" applyBorder="1"/>
    <xf numFmtId="0" fontId="0" fillId="12" borderId="8" xfId="0" applyFont="1" applyFill="1" applyBorder="1" applyAlignment="1">
      <alignment horizontal="center"/>
    </xf>
    <xf numFmtId="0" fontId="0" fillId="13" borderId="9" xfId="0" applyFont="1" applyFill="1" applyBorder="1" applyAlignment="1">
      <alignment horizontal="center"/>
    </xf>
    <xf numFmtId="0" fontId="0" fillId="13" borderId="10" xfId="0" applyFont="1" applyFill="1" applyBorder="1"/>
    <xf numFmtId="0" fontId="0" fillId="12" borderId="10" xfId="0" applyFont="1" applyFill="1" applyBorder="1" applyAlignment="1">
      <alignment horizontal="center"/>
    </xf>
    <xf numFmtId="0" fontId="0" fillId="10" borderId="9" xfId="0" applyFont="1" applyFill="1" applyBorder="1" applyAlignment="1">
      <alignment horizontal="center"/>
    </xf>
    <xf numFmtId="0" fontId="0" fillId="10" borderId="10" xfId="0" applyFont="1" applyFill="1" applyBorder="1"/>
    <xf numFmtId="0" fontId="17" fillId="9" borderId="4" xfId="0" applyFont="1" applyFill="1" applyBorder="1" applyAlignment="1">
      <alignment horizontal="center"/>
    </xf>
    <xf numFmtId="0" fontId="17" fillId="9" borderId="11" xfId="0" applyFont="1" applyFill="1" applyBorder="1" applyAlignment="1">
      <alignment horizontal="center" wrapText="1"/>
    </xf>
    <xf numFmtId="0" fontId="17" fillId="9" borderId="12" xfId="0" applyFont="1" applyFill="1" applyBorder="1" applyAlignment="1">
      <alignment horizontal="center"/>
    </xf>
    <xf numFmtId="0" fontId="0" fillId="10" borderId="10" xfId="0" applyFont="1" applyFill="1" applyBorder="1" applyAlignment="1">
      <alignment horizontal="center"/>
    </xf>
    <xf numFmtId="0" fontId="0" fillId="12" borderId="13" xfId="0" applyFont="1" applyFill="1" applyBorder="1" applyAlignment="1">
      <alignment horizontal="center"/>
    </xf>
    <xf numFmtId="0" fontId="0" fillId="13" borderId="10" xfId="0" applyFont="1" applyFill="1" applyBorder="1" applyAlignment="1">
      <alignment horizontal="center"/>
    </xf>
    <xf numFmtId="181" fontId="0" fillId="12" borderId="13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2" borderId="0" xfId="0" applyFill="1" applyAlignment="1">
      <alignment horizontal="center"/>
    </xf>
    <xf numFmtId="181" fontId="0" fillId="12" borderId="0" xfId="0" applyNumberFormat="1" applyFill="1" applyAlignment="1">
      <alignment horizontal="center"/>
    </xf>
    <xf numFmtId="0" fontId="0" fillId="12" borderId="0" xfId="0" applyFont="1" applyFill="1" applyAlignment="1">
      <alignment horizontal="center"/>
    </xf>
    <xf numFmtId="49" fontId="0" fillId="12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9" fontId="0" fillId="12" borderId="0" xfId="0" applyNumberFormat="1" applyFont="1" applyFill="1" applyAlignment="1">
      <alignment horizontal="center"/>
    </xf>
    <xf numFmtId="181" fontId="0" fillId="0" borderId="0" xfId="0" applyNumberFormat="1" applyAlignment="1">
      <alignment horizontal="center"/>
    </xf>
    <xf numFmtId="0" fontId="17" fillId="9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7" fillId="9" borderId="0" xfId="0" applyFont="1" applyFill="1" applyBorder="1" applyAlignment="1">
      <alignment horizontal="center" vertical="center"/>
    </xf>
    <xf numFmtId="0" fontId="5" fillId="10" borderId="8" xfId="0" applyFont="1" applyFill="1" applyBorder="1" applyAlignment="1">
      <alignment horizontal="center" vertical="center"/>
    </xf>
    <xf numFmtId="177" fontId="0" fillId="12" borderId="14" xfId="0" applyNumberFormat="1" applyFont="1" applyFill="1" applyBorder="1" applyAlignment="1">
      <alignment horizontal="center" vertical="center"/>
    </xf>
    <xf numFmtId="0" fontId="5" fillId="13" borderId="14" xfId="0" applyFont="1" applyFill="1" applyBorder="1" applyAlignment="1">
      <alignment horizontal="center" vertical="center"/>
    </xf>
    <xf numFmtId="177" fontId="5" fillId="12" borderId="14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2" borderId="0" xfId="4" applyNumberFormat="1" applyFont="1" applyFill="1" applyBorder="1" applyAlignment="1" applyProtection="1">
      <alignment horizontal="center"/>
    </xf>
    <xf numFmtId="181" fontId="0" fillId="12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81" fontId="0" fillId="12" borderId="0" xfId="0" applyNumberFormat="1" applyFill="1" applyAlignment="1">
      <alignment horizontal="center" vertical="center"/>
    </xf>
    <xf numFmtId="181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2" borderId="0" xfId="4" applyNumberFormat="1" applyFont="1" applyFill="1" applyBorder="1" applyAlignment="1" applyProtection="1">
      <alignment horizontal="center" vertical="center"/>
    </xf>
    <xf numFmtId="10" fontId="0" fillId="6" borderId="0" xfId="4" applyNumberFormat="1" applyFont="1" applyFill="1" applyBorder="1" applyAlignment="1" applyProtection="1">
      <alignment horizontal="center" vertical="center"/>
    </xf>
    <xf numFmtId="181" fontId="0" fillId="6" borderId="0" xfId="0" applyNumberFormat="1" applyFill="1" applyAlignment="1">
      <alignment horizontal="center"/>
    </xf>
    <xf numFmtId="181" fontId="0" fillId="6" borderId="0" xfId="0" applyNumberFormat="1" applyFill="1" applyAlignment="1">
      <alignment horizontal="center" vertical="center"/>
    </xf>
    <xf numFmtId="0" fontId="17" fillId="9" borderId="0" xfId="0" applyFont="1" applyFill="1" applyBorder="1" applyAlignment="1">
      <alignment horizontal="center" wrapText="1"/>
    </xf>
    <xf numFmtId="184" fontId="0" fillId="12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181" fontId="18" fillId="0" borderId="0" xfId="0" applyNumberFormat="1" applyFont="1" applyAlignment="1">
      <alignment vertical="center"/>
    </xf>
    <xf numFmtId="0" fontId="18" fillId="0" borderId="0" xfId="0" applyFont="1" applyAlignment="1">
      <alignment horizontal="center"/>
    </xf>
    <xf numFmtId="181" fontId="18" fillId="0" borderId="0" xfId="0" applyNumberFormat="1" applyFont="1" applyAlignment="1">
      <alignment horizontal="center"/>
    </xf>
    <xf numFmtId="181" fontId="19" fillId="12" borderId="0" xfId="0" applyNumberFormat="1" applyFont="1" applyFill="1" applyAlignment="1">
      <alignment horizontal="center"/>
    </xf>
    <xf numFmtId="181" fontId="0" fillId="0" borderId="0" xfId="0" applyNumberFormat="1" applyAlignment="1">
      <alignment horizontal="center" vertical="center"/>
    </xf>
    <xf numFmtId="181" fontId="6" fillId="12" borderId="0" xfId="0" applyNumberFormat="1" applyFont="1" applyFill="1" applyAlignment="1">
      <alignment horizontal="center"/>
    </xf>
    <xf numFmtId="183" fontId="6" fillId="12" borderId="0" xfId="0" applyNumberFormat="1" applyFont="1" applyFill="1" applyAlignment="1">
      <alignment horizontal="center"/>
    </xf>
    <xf numFmtId="181" fontId="6" fillId="0" borderId="0" xfId="0" applyNumberFormat="1" applyFont="1" applyAlignment="1">
      <alignment horizontal="center"/>
    </xf>
    <xf numFmtId="0" fontId="17" fillId="9" borderId="12" xfId="0" applyFont="1" applyFill="1" applyBorder="1" applyAlignment="1">
      <alignment horizontal="center" vertical="center"/>
    </xf>
    <xf numFmtId="0" fontId="0" fillId="10" borderId="8" xfId="0" applyFont="1" applyFill="1" applyBorder="1" applyAlignment="1">
      <alignment horizontal="left" vertical="center"/>
    </xf>
    <xf numFmtId="10" fontId="6" fillId="12" borderId="0" xfId="4" applyNumberFormat="1" applyFont="1" applyFill="1" applyBorder="1" applyAlignment="1" applyProtection="1">
      <alignment horizontal="center"/>
    </xf>
    <xf numFmtId="0" fontId="0" fillId="13" borderId="14" xfId="0" applyFont="1" applyFill="1" applyBorder="1" applyAlignment="1">
      <alignment horizontal="left" vertical="center"/>
    </xf>
    <xf numFmtId="177" fontId="0" fillId="12" borderId="0" xfId="0" applyNumberFormat="1" applyFill="1" applyAlignment="1">
      <alignment horizontal="center" vertical="center"/>
    </xf>
    <xf numFmtId="185" fontId="0" fillId="12" borderId="0" xfId="0" applyNumberFormat="1" applyFill="1" applyAlignment="1">
      <alignment horizontal="center" vertical="center"/>
    </xf>
    <xf numFmtId="0" fontId="6" fillId="0" borderId="0" xfId="0" applyFont="1"/>
    <xf numFmtId="0" fontId="0" fillId="0" borderId="0" xfId="0" applyFont="1" applyAlignment="1">
      <alignment horizontal="right"/>
    </xf>
    <xf numFmtId="0" fontId="20" fillId="9" borderId="0" xfId="0" applyFont="1" applyFill="1"/>
    <xf numFmtId="0" fontId="17" fillId="9" borderId="0" xfId="0" applyFont="1" applyFill="1" applyAlignment="1">
      <alignment horizontal="center" vertical="center"/>
    </xf>
    <xf numFmtId="181" fontId="17" fillId="9" borderId="0" xfId="0" applyNumberFormat="1" applyFont="1" applyFill="1" applyAlignment="1">
      <alignment horizontal="center"/>
    </xf>
    <xf numFmtId="0" fontId="20" fillId="9" borderId="0" xfId="0" applyFont="1" applyFill="1" applyAlignment="1">
      <alignment wrapText="1"/>
    </xf>
    <xf numFmtId="0" fontId="17" fillId="9" borderId="0" xfId="0" applyFont="1" applyFill="1" applyAlignment="1">
      <alignment horizontal="center" vertical="center" wrapText="1"/>
    </xf>
    <xf numFmtId="181" fontId="17" fillId="9" borderId="0" xfId="0" applyNumberFormat="1" applyFont="1" applyFill="1" applyAlignment="1">
      <alignment horizontal="center" wrapText="1"/>
    </xf>
    <xf numFmtId="0" fontId="21" fillId="0" borderId="0" xfId="0" applyFont="1"/>
    <xf numFmtId="182" fontId="0" fillId="0" borderId="0" xfId="0" applyNumberFormat="1" applyAlignment="1">
      <alignment horizontal="center" vertical="center"/>
    </xf>
    <xf numFmtId="177" fontId="0" fillId="12" borderId="0" xfId="0" applyNumberFormat="1" applyFill="1" applyAlignment="1">
      <alignment horizontal="center"/>
    </xf>
    <xf numFmtId="0" fontId="5" fillId="0" borderId="15" xfId="0" applyFont="1" applyBorder="1" applyAlignment="1">
      <alignment horizontal="center"/>
    </xf>
    <xf numFmtId="178" fontId="0" fillId="12" borderId="0" xfId="9" applyFont="1" applyFill="1" applyBorder="1" applyAlignment="1" applyProtection="1">
      <alignment horizontal="center"/>
    </xf>
    <xf numFmtId="186" fontId="0" fillId="12" borderId="0" xfId="0" applyNumberFormat="1" applyFill="1" applyAlignment="1">
      <alignment horizontal="center"/>
    </xf>
    <xf numFmtId="9" fontId="0" fillId="12" borderId="0" xfId="0" applyNumberFormat="1" applyFill="1" applyAlignment="1">
      <alignment horizontal="center"/>
    </xf>
    <xf numFmtId="0" fontId="0" fillId="0" borderId="0" xfId="0" applyFont="1" applyAlignment="1"/>
    <xf numFmtId="10" fontId="0" fillId="12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81" fontId="0" fillId="0" borderId="0" xfId="0" applyNumberFormat="1" applyFont="1" applyAlignment="1">
      <alignment horizontal="center" vertical="center" wrapText="1"/>
    </xf>
    <xf numFmtId="181" fontId="20" fillId="9" borderId="0" xfId="0" applyNumberFormat="1" applyFont="1" applyFill="1" applyAlignment="1">
      <alignment horizontal="center"/>
    </xf>
    <xf numFmtId="0" fontId="5" fillId="14" borderId="16" xfId="0" applyFont="1" applyFill="1" applyBorder="1" applyAlignment="1">
      <alignment horizontal="center"/>
    </xf>
    <xf numFmtId="0" fontId="0" fillId="14" borderId="0" xfId="0" applyFont="1" applyFill="1" applyBorder="1" applyAlignment="1">
      <alignment horizontal="left" vertical="center" wrapText="1"/>
    </xf>
    <xf numFmtId="0" fontId="0" fillId="14" borderId="0" xfId="0" applyFont="1" applyFill="1" applyBorder="1" applyAlignment="1">
      <alignment horizontal="left" wrapText="1"/>
    </xf>
    <xf numFmtId="0" fontId="5" fillId="14" borderId="0" xfId="0" applyFont="1" applyFill="1" applyBorder="1" applyAlignment="1">
      <alignment horizontal="left" vertical="center" wrapText="1"/>
    </xf>
    <xf numFmtId="0" fontId="22" fillId="14" borderId="0" xfId="0" applyFont="1" applyFill="1" applyBorder="1" applyAlignment="1">
      <alignment horizontal="center"/>
    </xf>
    <xf numFmtId="0" fontId="0" fillId="14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172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ill>
        <patternFill patternType="solid">
          <bgColor theme="5" tint="0.4"/>
        </patternFill>
      </fill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82" formatCode="&quot;R$&quot;\ #,##0.00_);[Red]\(&quot;R$&quot;\ #,##0.00\)"/>
      <alignment horizontal="center" vertical="center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51" name="Módulo153_52" displayName="Módulo153_52" ref="A24:D31" totalsRowCount="1">
  <autoFilter ref="A24:D30"/>
  <tableColumns count="4">
    <tableColumn id="1" name="1" totalsRowLabel="Total" dataDxfId="82"/>
    <tableColumn id="2" name="Composição da Remuneração" dataDxfId="83"/>
    <tableColumn id="3" name="Comentário" dataDxfId="84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52" name="Submódulo2.356_53" displayName="Submódulo2.356_53" ref="A58:D66" totalsRowCount="1">
  <autoFilter ref="A58:D65"/>
  <tableColumns count="4">
    <tableColumn id="1" name="2.3" totalsRowLabel="Total" dataDxfId="85"/>
    <tableColumn id="2" name="Benefícios Mensais e Diários" dataDxfId="86"/>
    <tableColumn id="3" name="Comentário" dataDxfId="87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53" name="Submódulo4.159_54" displayName="Submódulo4.159_54" ref="A92:D99" totalsRowCount="1">
  <autoFilter ref="A92:D98"/>
  <tableColumns count="4">
    <tableColumn id="1" name="4.1" totalsRowLabel="Total" dataDxfId="88"/>
    <tableColumn id="2" name="Substituto nas Ausências Legais" dataDxfId="89"/>
    <tableColumn id="3" name="Percentual" totalsRowFunction="custom">
      <totalsRowFormula>SUM(C93:C98)</totalsRowFormula>
    </tableColumn>
    <tableColumn id="4" name="Valor" totalsRowFunction="custom">
      <totalsRowFormula>TRUNC(SUM(D93:D98),2)</totalsRowFormula>
    </tableColumn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54" name="Submódulo4.260_55" displayName="Submódulo4.260_55" ref="A102:D104" totalsRowCount="1">
  <autoFilter ref="A102:D103"/>
  <tableColumns count="4">
    <tableColumn id="1" name="4.2" totalsRowLabel="Total" dataDxfId="90"/>
    <tableColumn id="2" name="Substituto na Intrajornada " dataDxfId="91"/>
    <tableColumn id="3" name="Comentário" dataDxfId="92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55" name="Table452_56" displayName="Table452_56" ref="A16:D21" totalsRowShown="0">
  <tableColumns count="4">
    <tableColumn id="1" name="Item" dataDxfId="93"/>
    <tableColumn id="2" name="Descrição" dataDxfId="94"/>
    <tableColumn id="3" name="Comentário" dataDxfId="95"/>
    <tableColumn id="4" name="Valor" dataDxfId="96"/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56" name="Módulo358_57" displayName="Módulo358_57" ref="A76:D83" totalsRowCount="1">
  <autoFilter ref="A76:D82"/>
  <tableColumns count="4">
    <tableColumn id="1" name="3" totalsRowLabel="Total" dataDxfId="97"/>
    <tableColumn id="2" name="Provisão para Rescisão" dataDxfId="98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57" name="Módulo562_58" displayName="Módulo562_58" ref="A113:D119" totalsRowCount="1">
  <autoFilter ref="A113:D118"/>
  <tableColumns count="4">
    <tableColumn id="1" name="5" totalsRowLabel="Total" dataDxfId="99"/>
    <tableColumn id="2" name="Insumos Diversos" dataDxfId="100"/>
    <tableColumn id="3" name="Comentário" dataDxfId="101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58" name="Módulo663_59" displayName="Módulo663_59" ref="A129:D136" totalsRowCount="1">
  <tableColumns count="4">
    <tableColumn id="1" name="6" totalsRowLabel="Total" dataDxfId="102"/>
    <tableColumn id="2" name="Custos Indiretos, Tributos e Lucro" dataDxfId="103"/>
    <tableColumn id="3" name="Percentual" dataDxfId="104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59" name="ResumoMódulo257_60" displayName="ResumoMódulo257_60" ref="A69:D73" totalsRowCount="1">
  <autoFilter ref="A69:D72"/>
  <tableColumns count="4">
    <tableColumn id="1" name="2" totalsRowLabel="Total" dataDxfId="105"/>
    <tableColumn id="2" name="Encargos e Benefícios Anuais, Mensais e Diários" dataDxfId="106"/>
    <tableColumn id="3" name="Comentário" dataDxfId="107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60" name="Submódulo2.154_61" displayName="Submódulo2.154_61" ref="A36:D39" totalsRowCount="1">
  <autoFilter ref="A36:D38"/>
  <tableColumns count="4">
    <tableColumn id="1" name="2.1" totalsRowLabel="Total" dataDxfId="108"/>
    <tableColumn id="2" name="13º (décimo terceiro) Salário, Férias e Adicional de Férias" dataDxfId="109"/>
    <tableColumn id="3" name="Percentual" dataDxfId="110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61" name="ResumoMódulo461_62" displayName="ResumoMódulo461_62" ref="A107:D110" totalsRowCount="1">
  <autoFilter ref="A107:D109"/>
  <tableColumns count="4">
    <tableColumn id="1" name="4" totalsRowLabel="Total" dataDxfId="111"/>
    <tableColumn id="2" name="Custo de Reposição do Profissional Ausente" dataDxfId="112"/>
    <tableColumn id="3" name="Comentário" totalsRowLabel="*Nota: Se o titular USUFRUIR do descanso intrajornada, o total é o somatório dos subitens 4.1 e 4.2" dataDxfId="113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62" name="Submódulo2.255_63" displayName="Submódulo2.255_63" ref="A46:D55" totalsRowCount="1">
  <autoFilter ref="A46:D54"/>
  <tableColumns count="4">
    <tableColumn id="1" name="2.2" totalsRowLabel="Total" dataDxfId="114"/>
    <tableColumn id="2" name="GPS, FGTS e outras contribuições" dataDxfId="115"/>
    <tableColumn id="3" name="Percentual" totalsRowFunction="custom">
      <totalsRowFormula>SUM(C47:C54)</totalsRowFormula>
    </tableColumn>
    <tableColumn id="4" name="Valor " totalsRowFunction="custom">
      <totalsRowFormula>TRUNC((SUM(D47:D54)),2)</totalsRowFormula>
    </tableColumn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63" name="ResumoPosto64_64" displayName="ResumoPosto64_64" ref="A140:D149" totalsRowShown="0">
  <autoFilter ref="A140:D149"/>
  <tableColumns count="4">
    <tableColumn id="1" name="Item" dataDxfId="116"/>
    <tableColumn id="2" name="Mão de obra vinculada à execução contratual" dataDxfId="117"/>
    <tableColumn id="3" name="-" dataDxfId="118"/>
    <tableColumn id="4" name="Valor" dataDxfId="119"/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103" name="Módulo358_57104" displayName="Módulo358_57104" ref="A76:D83" totalsRowCount="1">
  <autoFilter ref="A76:D82"/>
  <tableColumns count="4">
    <tableColumn id="1" name="3" totalsRowLabel="Total" dataDxfId="120"/>
    <tableColumn id="2" name="Provisão para Rescisão" dataDxfId="121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104" name="Módulo663_59105" displayName="Módulo663_59105" ref="A129:D136" totalsRowCount="1">
  <tableColumns count="4">
    <tableColumn id="1" name="6" totalsRowLabel="Total" dataDxfId="122"/>
    <tableColumn id="2" name="Custos Indiretos, Tributos e Lucro" dataDxfId="123"/>
    <tableColumn id="3" name="Percentual" dataDxfId="124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id="105" name="Table452_56106" displayName="Table452_56106" ref="A16:D21" totalsRowShown="0">
  <tableColumns count="4">
    <tableColumn id="1" name="Item" dataDxfId="125"/>
    <tableColumn id="2" name="Descrição" dataDxfId="126"/>
    <tableColumn id="3" name="Comentário" dataDxfId="127"/>
    <tableColumn id="4" name="Valor" dataDxfId="128"/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id="106" name="Submódulo4.260_55107" displayName="Submódulo4.260_55107" ref="A102:D104" totalsRowCount="1">
  <autoFilter ref="A102:D103"/>
  <tableColumns count="4">
    <tableColumn id="1" name="4.2" totalsRowLabel="Total" dataDxfId="129"/>
    <tableColumn id="2" name="Substituto na Intrajornada " dataDxfId="130"/>
    <tableColumn id="3" name="Comentário" dataDxfId="131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40.xml><?xml version="1.0" encoding="utf-8"?>
<table xmlns="http://schemas.openxmlformats.org/spreadsheetml/2006/main" id="107" name="ResumoPosto64_64108" displayName="ResumoPosto64_64108" ref="A140:D149" totalsRowShown="0">
  <autoFilter ref="A140:D149"/>
  <tableColumns count="4">
    <tableColumn id="1" name="Item" dataDxfId="132"/>
    <tableColumn id="2" name="Mão de obra vinculada à execução contratual" dataDxfId="133"/>
    <tableColumn id="3" name="-" dataDxfId="134"/>
    <tableColumn id="4" name="Valor" dataDxfId="135"/>
  </tableColumns>
  <tableStyleInfo showFirstColumn="0" showLastColumn="0" showRowStripes="1" showColumnStripes="0"/>
</table>
</file>

<file path=xl/tables/table41.xml><?xml version="1.0" encoding="utf-8"?>
<table xmlns="http://schemas.openxmlformats.org/spreadsheetml/2006/main" id="108" name="Módulo153_52109" displayName="Módulo153_52109" ref="A24:D31" totalsRowCount="1">
  <autoFilter ref="A24:D30"/>
  <tableColumns count="4">
    <tableColumn id="1" name="1" totalsRowLabel="Total" dataDxfId="136"/>
    <tableColumn id="2" name="Composição da Remuneração" dataDxfId="137"/>
    <tableColumn id="3" name="Comentário" dataDxfId="138"/>
    <tableColumn id="4" name="Valor" totalsRowFunction="custom">
      <totalsRowFormula>TRUNC(SUM(D25:D30),2)</totalsRowFormula>
    </tableColumn>
  </tableColumns>
  <tableStyleInfo showFirstColumn="0" showLastColumn="0" showRowStripes="1" showColumnStripes="0"/>
</table>
</file>

<file path=xl/tables/table42.xml><?xml version="1.0" encoding="utf-8"?>
<table xmlns="http://schemas.openxmlformats.org/spreadsheetml/2006/main" id="109" name="Submódulo4.159_54110" displayName="Submódulo4.159_54110" ref="A92:D99" totalsRowCount="1">
  <autoFilter ref="A92:D98"/>
  <tableColumns count="4">
    <tableColumn id="1" name="4.1" totalsRowLabel="Total" dataDxfId="139"/>
    <tableColumn id="2" name="Substituto nas Ausências Legais" dataDxfId="140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43.xml><?xml version="1.0" encoding="utf-8"?>
<table xmlns="http://schemas.openxmlformats.org/spreadsheetml/2006/main" id="110" name="Submódulo2.154_61111" displayName="Submódulo2.154_61111" ref="A36:D39" totalsRowCount="1">
  <autoFilter ref="A36:D38"/>
  <tableColumns count="4">
    <tableColumn id="1" name="2.1" totalsRowLabel="Total" dataDxfId="141"/>
    <tableColumn id="2" name="13º (décimo terceiro) Salário, Férias e Adicional de Férias" dataDxfId="142"/>
    <tableColumn id="3" name="Percentual" dataDxfId="143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44.xml><?xml version="1.0" encoding="utf-8"?>
<table xmlns="http://schemas.openxmlformats.org/spreadsheetml/2006/main" id="111" name="Submódulo2.356_53112" displayName="Submódulo2.356_53112" ref="A58:D66" totalsRowCount="1">
  <autoFilter ref="A58:D65"/>
  <tableColumns count="4">
    <tableColumn id="1" name="2.3" totalsRowLabel="Total" dataDxfId="144"/>
    <tableColumn id="2" name="Benefícios Mensais e Diários" dataDxfId="145"/>
    <tableColumn id="3" name="Comentário" dataDxfId="146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45.xml><?xml version="1.0" encoding="utf-8"?>
<table xmlns="http://schemas.openxmlformats.org/spreadsheetml/2006/main" id="112" name="ResumoMódulo257_60113" displayName="ResumoMódulo257_60113" ref="A69:D73" totalsRowCount="1">
  <autoFilter ref="A69:D72"/>
  <tableColumns count="4">
    <tableColumn id="1" name="2" totalsRowLabel="Total" dataDxfId="147"/>
    <tableColumn id="2" name="Encargos e Benefícios Anuais, Mensais e Diários" dataDxfId="148"/>
    <tableColumn id="3" name="Comentário" dataDxfId="149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46.xml><?xml version="1.0" encoding="utf-8"?>
<table xmlns="http://schemas.openxmlformats.org/spreadsheetml/2006/main" id="113" name="Submódulo2.255_63114" displayName="Submódulo2.255_63114" ref="A46:D55" totalsRowCount="1">
  <autoFilter ref="A46:D54"/>
  <tableColumns count="4">
    <tableColumn id="1" name="2.2" totalsRowLabel="Total" dataDxfId="150"/>
    <tableColumn id="2" name="GPS, FGTS e outras contribuições" dataDxfId="151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47.xml><?xml version="1.0" encoding="utf-8"?>
<table xmlns="http://schemas.openxmlformats.org/spreadsheetml/2006/main" id="114" name="ResumoMódulo461_62115" displayName="ResumoMódulo461_62115" ref="A107:D110" totalsRowCount="1">
  <autoFilter ref="A107:D109"/>
  <tableColumns count="4">
    <tableColumn id="1" name="4" totalsRowLabel="Total" dataDxfId="152"/>
    <tableColumn id="2" name="Custo de Reposição do Profissional Ausente" dataDxfId="153"/>
    <tableColumn id="3" name="Comentário" totalsRowLabel="*Nota: Se o titular USUFRUIR do descanso intrajornada, o total é o somatório dos subitens 4.1 e 4.2" dataDxfId="154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48.xml><?xml version="1.0" encoding="utf-8"?>
<table xmlns="http://schemas.openxmlformats.org/spreadsheetml/2006/main" id="115" name="Módulo562_58116" displayName="Módulo562_58116" ref="A113:D119" totalsRowCount="1">
  <autoFilter ref="A113:D118"/>
  <tableColumns count="4">
    <tableColumn id="1" name="5" totalsRowLabel="Total" dataDxfId="155"/>
    <tableColumn id="2" name="Insumos Diversos" dataDxfId="156"/>
    <tableColumn id="3" name="Comentário" dataDxfId="157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49.xml><?xml version="1.0" encoding="utf-8"?>
<table xmlns="http://schemas.openxmlformats.org/spreadsheetml/2006/main" id="142" name="Table43_143" displayName="Table43_143" ref="A3:H12">
  <autoFilter ref="A3:H12"/>
  <tableColumns count="8">
    <tableColumn id="1" name="ITEM" totalsRowLabel="Total" dataDxfId="158"/>
    <tableColumn id="2" name="PEÇA" dataDxfId="159"/>
    <tableColumn id="3" name="DESCRIÇÃO" dataDxfId="160"/>
    <tableColumn id="4" name="UNIDADE" dataDxfId="161"/>
    <tableColumn id="5" name="VALOR MÉDIO UNITÁRIO (R$)" dataDxfId="162"/>
    <tableColumn id="6" name="QUANTIDADE ANUAL" dataDxfId="163"/>
    <tableColumn id="7" name="VALOR ANUAL POR EMPREGADO (R$)" dataDxfId="164"/>
    <tableColumn id="8" name="VALOR MENSAL POR EMPREGADO (R$)" totalsRowFunction="sum" dataDxfId="165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50.xml><?xml version="1.0" encoding="utf-8"?>
<table xmlns="http://schemas.openxmlformats.org/spreadsheetml/2006/main" id="7" name="Table39" displayName="Table39" ref="A2:G5" totalsRowCount="1">
  <tableColumns count="7">
    <tableColumn id="1" name="Item" totalsRowLabel="TOTAL" dataDxfId="166"/>
    <tableColumn id="2" name="Descrição" dataDxfId="167"/>
    <tableColumn id="7" name="Unidade" dataDxfId="168"/>
    <tableColumn id="3" name="Quantidade" dataDxfId="169"/>
    <tableColumn id="6" name="VIGÊNCIA (Mês)" dataDxfId="170"/>
    <tableColumn id="4" name="VALOR UNITÁRIO MÁXIMO ACEITÁVEL" dataDxfId="171"/>
    <tableColumn id="5" name="VALOR TOTAL MÁXIMO ACEITÁVEL" totalsRowFunction="custom">
      <totalsRowFormula>SUM(G3:G4)</totalsRowFormula>
    </tableColumn>
  </tableColumns>
  <tableStyleInfo name="TableStyleMedium14"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table" Target="../tables/table44.xml"/><Relationship Id="rId8" Type="http://schemas.openxmlformats.org/officeDocument/2006/relationships/table" Target="../tables/table43.xml"/><Relationship Id="rId7" Type="http://schemas.openxmlformats.org/officeDocument/2006/relationships/table" Target="../tables/table42.xml"/><Relationship Id="rId6" Type="http://schemas.openxmlformats.org/officeDocument/2006/relationships/table" Target="../tables/table41.xml"/><Relationship Id="rId5" Type="http://schemas.openxmlformats.org/officeDocument/2006/relationships/table" Target="../tables/table40.xml"/><Relationship Id="rId4" Type="http://schemas.openxmlformats.org/officeDocument/2006/relationships/table" Target="../tables/table39.xml"/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3" Type="http://schemas.openxmlformats.org/officeDocument/2006/relationships/table" Target="../tables/table48.xml"/><Relationship Id="rId12" Type="http://schemas.openxmlformats.org/officeDocument/2006/relationships/table" Target="../tables/table47.xml"/><Relationship Id="rId11" Type="http://schemas.openxmlformats.org/officeDocument/2006/relationships/table" Target="../tables/table46.xml"/><Relationship Id="rId10" Type="http://schemas.openxmlformats.org/officeDocument/2006/relationships/table" Target="../tables/table45.xml"/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9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145" t="s">
        <v>0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</row>
    <row r="2" ht="57" customHeight="1" spans="1:11">
      <c r="A2" s="146" t="s">
        <v>1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</row>
    <row r="3" ht="51" customHeight="1" spans="1:11">
      <c r="A3" s="146" t="s">
        <v>2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</row>
    <row r="4" ht="54.75" customHeight="1" spans="1:11">
      <c r="A4" s="146" t="s">
        <v>3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</row>
    <row r="5" ht="67.5" customHeight="1" spans="1:11">
      <c r="A5" s="147" t="s">
        <v>4</v>
      </c>
      <c r="B5" s="147"/>
      <c r="C5" s="147"/>
      <c r="D5" s="147"/>
      <c r="E5" s="147"/>
      <c r="F5" s="147"/>
      <c r="G5" s="147"/>
      <c r="H5" s="147"/>
      <c r="I5" s="147"/>
      <c r="J5" s="147"/>
      <c r="K5" s="147"/>
    </row>
    <row r="6" ht="84.75" customHeight="1" spans="1:11">
      <c r="A6" s="147" t="s">
        <v>5</v>
      </c>
      <c r="B6" s="147"/>
      <c r="C6" s="147"/>
      <c r="D6" s="147"/>
      <c r="E6" s="147"/>
      <c r="F6" s="147"/>
      <c r="G6" s="147"/>
      <c r="H6" s="147"/>
      <c r="I6" s="147"/>
      <c r="J6" s="147"/>
      <c r="K6" s="147"/>
    </row>
    <row r="7" ht="49.5" customHeight="1" spans="1:11">
      <c r="A7" s="147" t="s">
        <v>6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</row>
    <row r="8" ht="38.25" customHeight="1" spans="1:11">
      <c r="A8" s="147" t="s">
        <v>7</v>
      </c>
      <c r="B8" s="147"/>
      <c r="C8" s="147"/>
      <c r="D8" s="147"/>
      <c r="E8" s="147"/>
      <c r="F8" s="147"/>
      <c r="G8" s="147"/>
      <c r="H8" s="147"/>
      <c r="I8" s="147"/>
      <c r="J8" s="147"/>
      <c r="K8" s="147"/>
    </row>
    <row r="9" ht="39.75" customHeight="1" spans="1:11">
      <c r="A9" s="146" t="s">
        <v>8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</row>
    <row r="10" ht="41.25" customHeight="1" spans="1:11">
      <c r="A10" s="146" t="s">
        <v>9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</row>
    <row r="11" ht="41.25" customHeight="1" spans="1:11">
      <c r="A11" s="148" t="s">
        <v>10</v>
      </c>
      <c r="B11" s="148"/>
      <c r="C11" s="148"/>
      <c r="D11" s="148"/>
      <c r="E11" s="148"/>
      <c r="F11" s="148"/>
      <c r="G11" s="148"/>
      <c r="H11" s="148"/>
      <c r="I11" s="148"/>
      <c r="J11" s="148"/>
      <c r="K11" s="148"/>
    </row>
    <row r="12" spans="1:11">
      <c r="A12" s="149" t="s">
        <v>11</v>
      </c>
      <c r="B12" s="149"/>
      <c r="C12" s="149"/>
      <c r="D12" s="149"/>
      <c r="E12" s="149"/>
      <c r="F12" s="149"/>
      <c r="G12" s="149"/>
      <c r="H12" s="149"/>
      <c r="I12" s="149"/>
      <c r="J12" s="149"/>
      <c r="K12" s="149"/>
    </row>
    <row r="13" spans="1:11">
      <c r="A13" s="150" t="s">
        <v>12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50"/>
    </row>
    <row r="14" spans="1:11">
      <c r="A14" s="150" t="s">
        <v>13</v>
      </c>
      <c r="B14" s="150"/>
      <c r="C14" s="150"/>
      <c r="D14" s="150"/>
      <c r="E14" s="150"/>
      <c r="F14" s="150"/>
      <c r="G14" s="150"/>
      <c r="H14" s="150"/>
      <c r="I14" s="150"/>
      <c r="J14" s="150"/>
      <c r="K14" s="150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131" t="s">
        <v>14</v>
      </c>
      <c r="B1" s="131"/>
      <c r="C1" s="131"/>
      <c r="D1" s="131"/>
      <c r="F1" s="71" t="s">
        <v>15</v>
      </c>
      <c r="G1" s="71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</row>
    <row r="2" spans="1:21">
      <c r="A2" s="72" t="s">
        <v>16</v>
      </c>
      <c r="B2" t="s">
        <v>17</v>
      </c>
      <c r="C2" s="72" t="s">
        <v>18</v>
      </c>
      <c r="D2" s="72" t="s">
        <v>19</v>
      </c>
      <c r="F2" s="77" t="s">
        <v>17</v>
      </c>
      <c r="G2" s="77" t="s">
        <v>19</v>
      </c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</row>
    <row r="3" spans="1:21">
      <c r="A3" s="72">
        <v>1</v>
      </c>
      <c r="B3" t="s">
        <v>20</v>
      </c>
      <c r="C3" s="72"/>
      <c r="D3" s="72" t="s">
        <v>21</v>
      </c>
      <c r="F3" t="s">
        <v>22</v>
      </c>
      <c r="G3" s="132">
        <v>0</v>
      </c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</row>
    <row r="4" spans="1:21">
      <c r="A4" s="72">
        <v>2</v>
      </c>
      <c r="B4" t="s">
        <v>23</v>
      </c>
      <c r="C4" s="72"/>
      <c r="D4" s="72" t="s">
        <v>24</v>
      </c>
      <c r="F4" t="s">
        <v>25</v>
      </c>
      <c r="G4" s="132">
        <v>12</v>
      </c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</row>
    <row r="5" spans="1:21">
      <c r="A5" s="72">
        <v>3</v>
      </c>
      <c r="B5" t="s">
        <v>26</v>
      </c>
      <c r="C5" s="72" t="s">
        <v>27</v>
      </c>
      <c r="D5" s="133">
        <v>998</v>
      </c>
      <c r="F5" t="s">
        <v>28</v>
      </c>
      <c r="G5" s="73">
        <v>22</v>
      </c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</row>
    <row r="6" spans="1:21">
      <c r="A6" s="72">
        <v>4</v>
      </c>
      <c r="B6" t="s">
        <v>29</v>
      </c>
      <c r="C6" s="72" t="s">
        <v>30</v>
      </c>
      <c r="D6" s="72" t="s">
        <v>31</v>
      </c>
      <c r="F6" t="s">
        <v>32</v>
      </c>
      <c r="G6" s="134">
        <v>0.03</v>
      </c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</row>
    <row r="7" spans="1:21">
      <c r="A7" s="72">
        <v>5</v>
      </c>
      <c r="B7" t="s">
        <v>33</v>
      </c>
      <c r="C7" s="72"/>
      <c r="D7" s="72" t="s">
        <v>34</v>
      </c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</row>
    <row r="8" spans="6:21">
      <c r="F8" s="71" t="s">
        <v>35</v>
      </c>
      <c r="G8" s="71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</row>
    <row r="9" spans="1:21">
      <c r="A9" s="55" t="s">
        <v>36</v>
      </c>
      <c r="B9" s="55"/>
      <c r="C9" s="55"/>
      <c r="D9" s="55"/>
      <c r="F9" s="77" t="s">
        <v>37</v>
      </c>
      <c r="G9" s="77" t="s">
        <v>38</v>
      </c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</row>
    <row r="10" spans="1:21">
      <c r="A10" s="72" t="s">
        <v>39</v>
      </c>
      <c r="B10" s="77" t="s">
        <v>40</v>
      </c>
      <c r="C10" s="72" t="s">
        <v>18</v>
      </c>
      <c r="D10" s="72" t="s">
        <v>19</v>
      </c>
      <c r="F10" t="s">
        <v>41</v>
      </c>
      <c r="G10" s="78">
        <v>0.4337</v>
      </c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</row>
    <row r="11" spans="1:21">
      <c r="A11" s="72" t="s">
        <v>42</v>
      </c>
      <c r="B11" t="s">
        <v>43</v>
      </c>
      <c r="C11" s="72"/>
      <c r="D11" s="80">
        <f>Salário_Normativo_da_Categoria_Profissional</f>
        <v>998</v>
      </c>
      <c r="F11" t="s">
        <v>44</v>
      </c>
      <c r="G11" s="78">
        <v>0.4337</v>
      </c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</row>
    <row r="12" spans="1:21">
      <c r="A12" s="72" t="s">
        <v>45</v>
      </c>
      <c r="B12" t="s">
        <v>46</v>
      </c>
      <c r="C12" s="72"/>
      <c r="D12" s="80"/>
      <c r="F12" t="s">
        <v>47</v>
      </c>
      <c r="G12" s="78">
        <v>0.0218</v>
      </c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</row>
    <row r="13" spans="1:21">
      <c r="A13" s="72" t="s">
        <v>48</v>
      </c>
      <c r="B13" t="s">
        <v>49</v>
      </c>
      <c r="C13" s="72"/>
      <c r="D13" s="80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</row>
    <row r="14" spans="1:21">
      <c r="A14" s="72" t="s">
        <v>50</v>
      </c>
      <c r="B14" t="s">
        <v>51</v>
      </c>
      <c r="C14" s="72"/>
      <c r="D14" s="80"/>
      <c r="F14" s="71" t="s">
        <v>52</v>
      </c>
      <c r="G14" s="71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</row>
    <row r="15" spans="1:21">
      <c r="A15" s="72" t="s">
        <v>53</v>
      </c>
      <c r="B15" t="s">
        <v>54</v>
      </c>
      <c r="C15" s="72"/>
      <c r="D15" s="80"/>
      <c r="F15" s="135" t="s">
        <v>17</v>
      </c>
      <c r="G15" s="135" t="s">
        <v>38</v>
      </c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</row>
    <row r="16" spans="1:21">
      <c r="A16" s="72" t="s">
        <v>55</v>
      </c>
      <c r="B16" t="s">
        <v>56</v>
      </c>
      <c r="C16" s="72"/>
      <c r="D16" s="80"/>
      <c r="F16" s="83" t="s">
        <v>57</v>
      </c>
      <c r="G16" s="136">
        <v>0.0471</v>
      </c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</row>
    <row r="17" spans="1:21">
      <c r="A17" s="72" t="s">
        <v>58</v>
      </c>
      <c r="C17" s="72"/>
      <c r="D17" s="80">
        <f>SUBTOTAL(109,Módulo1[Valor])</f>
        <v>998</v>
      </c>
      <c r="F17" s="83" t="s">
        <v>59</v>
      </c>
      <c r="G17" s="136">
        <v>0.0467</v>
      </c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</row>
    <row r="18" spans="6:21">
      <c r="F18" s="83" t="s">
        <v>60</v>
      </c>
      <c r="G18" s="137">
        <v>0.0165</v>
      </c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</row>
    <row r="19" spans="1:21">
      <c r="A19" s="81" t="s">
        <v>61</v>
      </c>
      <c r="B19" s="81"/>
      <c r="C19" s="81"/>
      <c r="D19" s="81"/>
      <c r="F19" s="83" t="s">
        <v>62</v>
      </c>
      <c r="G19" s="137">
        <v>0.076</v>
      </c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</row>
    <row r="20" spans="1:21">
      <c r="A20" s="71" t="s">
        <v>63</v>
      </c>
      <c r="B20" s="71"/>
      <c r="C20" s="71"/>
      <c r="D20" s="71"/>
      <c r="F20" s="83" t="s">
        <v>64</v>
      </c>
      <c r="G20" s="137">
        <v>0.05</v>
      </c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</row>
    <row r="21" spans="1:21">
      <c r="A21" s="72" t="s">
        <v>65</v>
      </c>
      <c r="B21" s="77" t="s">
        <v>66</v>
      </c>
      <c r="C21" s="72" t="s">
        <v>18</v>
      </c>
      <c r="D21" s="72" t="s">
        <v>19</v>
      </c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</row>
    <row r="22" spans="1:21">
      <c r="A22" s="72" t="s">
        <v>42</v>
      </c>
      <c r="B22" t="s">
        <v>67</v>
      </c>
      <c r="D22" s="80">
        <f>Módulo1[[#Totals],[Valor]]/12</f>
        <v>83.1666666666667</v>
      </c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</row>
    <row r="23" spans="1:21">
      <c r="A23" s="72" t="s">
        <v>45</v>
      </c>
      <c r="B23" t="s">
        <v>68</v>
      </c>
      <c r="D23" s="80">
        <f>(Módulo1[[#Totals],[Valor]]/12)*(1+(1/3))</f>
        <v>110.888888888889</v>
      </c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</row>
    <row r="24" spans="1:21">
      <c r="A24" s="72" t="s">
        <v>58</v>
      </c>
      <c r="D24" s="80">
        <f>SUBTOTAL(109,Submódulo2.1[Valor])</f>
        <v>194.055555555556</v>
      </c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</row>
    <row r="25" spans="1:21">
      <c r="A25" s="72"/>
      <c r="D25" s="80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</row>
    <row r="26" spans="1:21">
      <c r="A26" s="138" t="s">
        <v>69</v>
      </c>
      <c r="B26" s="138"/>
      <c r="C26" s="138"/>
      <c r="D26" s="138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</row>
    <row r="27" spans="1:21">
      <c r="A27" s="138" t="s">
        <v>16</v>
      </c>
      <c r="B27" s="138" t="s">
        <v>70</v>
      </c>
      <c r="C27" s="138" t="s">
        <v>71</v>
      </c>
      <c r="D27" s="139" t="s">
        <v>72</v>
      </c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</row>
    <row r="28" ht="30" spans="1:21">
      <c r="A28" s="92" t="s">
        <v>42</v>
      </c>
      <c r="B28" s="140" t="s">
        <v>73</v>
      </c>
      <c r="C28" s="141" t="s">
        <v>74</v>
      </c>
      <c r="D28" s="140" t="s">
        <v>75</v>
      </c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</row>
    <row r="29" ht="30" spans="1:21">
      <c r="A29" s="92" t="s">
        <v>45</v>
      </c>
      <c r="B29" s="142" t="s">
        <v>68</v>
      </c>
      <c r="C29" s="141" t="s">
        <v>74</v>
      </c>
      <c r="D29" s="140" t="s">
        <v>76</v>
      </c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</row>
    <row r="30" spans="1:21">
      <c r="A30" s="72"/>
      <c r="B30" s="72"/>
      <c r="C30" s="104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</row>
    <row r="31" spans="1:4">
      <c r="A31" s="71" t="s">
        <v>77</v>
      </c>
      <c r="B31" s="71"/>
      <c r="C31" s="71"/>
      <c r="D31" s="71"/>
    </row>
    <row r="32" spans="1:4">
      <c r="A32" s="72" t="s">
        <v>78</v>
      </c>
      <c r="B32" s="77" t="s">
        <v>79</v>
      </c>
      <c r="C32" s="72" t="s">
        <v>38</v>
      </c>
      <c r="D32" s="72" t="s">
        <v>80</v>
      </c>
    </row>
    <row r="33" spans="1:4">
      <c r="A33" s="72" t="s">
        <v>42</v>
      </c>
      <c r="B33" t="s">
        <v>81</v>
      </c>
      <c r="C33" s="82">
        <v>0.2</v>
      </c>
      <c r="D33" s="80">
        <f>C33*(Módulo1[[#Totals],[Valor]]+Submódulo2.1[[#Totals],[Valor]])</f>
        <v>238.411111111111</v>
      </c>
    </row>
    <row r="34" spans="1:4">
      <c r="A34" s="72" t="s">
        <v>45</v>
      </c>
      <c r="B34" t="s">
        <v>82</v>
      </c>
      <c r="C34" s="82">
        <v>0.025</v>
      </c>
      <c r="D34" s="80">
        <f>C34*(Módulo1[[#Totals],[Valor]]+Submódulo2.1[[#Totals],[Valor]])</f>
        <v>29.8013888888889</v>
      </c>
    </row>
    <row r="35" spans="1:4">
      <c r="A35" s="72" t="s">
        <v>48</v>
      </c>
      <c r="B35" t="s">
        <v>83</v>
      </c>
      <c r="C35" s="82">
        <f>Servente!G6</f>
        <v>0.03</v>
      </c>
      <c r="D35" s="80">
        <f>C35*(Módulo1[[#Totals],[Valor]]+Submódulo2.1[[#Totals],[Valor]])</f>
        <v>35.7616666666667</v>
      </c>
    </row>
    <row r="36" spans="1:4">
      <c r="A36" s="72" t="s">
        <v>50</v>
      </c>
      <c r="B36" t="s">
        <v>84</v>
      </c>
      <c r="C36" s="82">
        <v>0.015</v>
      </c>
      <c r="D36" s="80">
        <f>C36*(Módulo1[[#Totals],[Valor]]+Submódulo2.1[[#Totals],[Valor]])</f>
        <v>17.8808333333333</v>
      </c>
    </row>
    <row r="37" spans="1:4">
      <c r="A37" s="72" t="s">
        <v>53</v>
      </c>
      <c r="B37" t="s">
        <v>85</v>
      </c>
      <c r="C37" s="82">
        <v>0.01</v>
      </c>
      <c r="D37" s="80">
        <f>C37*(Módulo1[[#Totals],[Valor]]+Submódulo2.1[[#Totals],[Valor]])</f>
        <v>11.9205555555556</v>
      </c>
    </row>
    <row r="38" spans="1:4">
      <c r="A38" s="72" t="s">
        <v>55</v>
      </c>
      <c r="B38" t="s">
        <v>86</v>
      </c>
      <c r="C38" s="82">
        <v>0.006</v>
      </c>
      <c r="D38" s="80">
        <f>C38*(Módulo1[[#Totals],[Valor]]+Submódulo2.1[[#Totals],[Valor]])</f>
        <v>7.15233333333333</v>
      </c>
    </row>
    <row r="39" spans="1:4">
      <c r="A39" s="72" t="s">
        <v>87</v>
      </c>
      <c r="B39" t="s">
        <v>88</v>
      </c>
      <c r="C39" s="82">
        <v>0.002</v>
      </c>
      <c r="D39" s="80">
        <f>C39*(Módulo1[[#Totals],[Valor]]+Submódulo2.1[[#Totals],[Valor]])</f>
        <v>2.38411111111111</v>
      </c>
    </row>
    <row r="40" spans="1:4">
      <c r="A40" s="72" t="s">
        <v>89</v>
      </c>
      <c r="B40" t="s">
        <v>90</v>
      </c>
      <c r="C40" s="82">
        <v>0.08</v>
      </c>
      <c r="D40" s="80">
        <f>C40*(Módulo1[[#Totals],[Valor]]+Submódulo2.1[[#Totals],[Valor]])</f>
        <v>95.3644444444445</v>
      </c>
    </row>
    <row r="41" spans="1:4">
      <c r="A41" s="72" t="s">
        <v>58</v>
      </c>
      <c r="C41" s="89">
        <f>SUBTOTAL(109,Submódulo2.2[Percentual])</f>
        <v>0.368</v>
      </c>
      <c r="D41" s="80">
        <f>SUBTOTAL(109,Submódulo2.2[Valor ])</f>
        <v>438.676444444444</v>
      </c>
    </row>
    <row r="42" spans="1:4">
      <c r="A42" s="72"/>
      <c r="C42" s="89"/>
      <c r="D42" s="80"/>
    </row>
    <row r="43" spans="1:4">
      <c r="A43" s="138" t="s">
        <v>91</v>
      </c>
      <c r="B43" s="138"/>
      <c r="C43" s="138"/>
      <c r="D43" s="138"/>
    </row>
    <row r="44" spans="1:4">
      <c r="A44" s="138" t="s">
        <v>16</v>
      </c>
      <c r="B44" s="138" t="s">
        <v>70</v>
      </c>
      <c r="C44" s="138" t="s">
        <v>71</v>
      </c>
      <c r="D44" s="139" t="s">
        <v>72</v>
      </c>
    </row>
    <row r="45" ht="30" spans="1:4">
      <c r="A45" s="92" t="s">
        <v>92</v>
      </c>
      <c r="B45" s="140" t="s">
        <v>79</v>
      </c>
      <c r="C45" s="140" t="s">
        <v>93</v>
      </c>
      <c r="D45" s="140" t="s">
        <v>94</v>
      </c>
    </row>
    <row r="47" spans="1:4">
      <c r="A47" s="71" t="s">
        <v>95</v>
      </c>
      <c r="B47" s="71"/>
      <c r="C47" s="71"/>
      <c r="D47" s="71"/>
    </row>
    <row r="48" spans="1:4">
      <c r="A48" s="72" t="s">
        <v>96</v>
      </c>
      <c r="B48" s="77" t="s">
        <v>97</v>
      </c>
      <c r="C48" s="72" t="s">
        <v>18</v>
      </c>
      <c r="D48" s="72" t="s">
        <v>19</v>
      </c>
    </row>
    <row r="49" spans="1:4">
      <c r="A49" s="72" t="s">
        <v>42</v>
      </c>
      <c r="B49" t="s">
        <v>98</v>
      </c>
      <c r="D49" s="80">
        <f>IF(G3=0,0,(Servente!G3*2*Servente!G5)-(6%*_1A))</f>
        <v>0</v>
      </c>
    </row>
    <row r="50" spans="1:4">
      <c r="A50" s="72" t="s">
        <v>45</v>
      </c>
      <c r="B50" t="s">
        <v>99</v>
      </c>
      <c r="D50" s="80">
        <f>(Servente!G4*Servente!G5)*80%</f>
        <v>211.2</v>
      </c>
    </row>
    <row r="51" spans="1:4">
      <c r="A51" s="72" t="s">
        <v>48</v>
      </c>
      <c r="B51" t="s">
        <v>100</v>
      </c>
      <c r="D51" s="80"/>
    </row>
    <row r="52" spans="1:4">
      <c r="A52" s="72" t="s">
        <v>50</v>
      </c>
      <c r="B52" t="s">
        <v>56</v>
      </c>
      <c r="D52" s="80"/>
    </row>
    <row r="53" spans="1:4">
      <c r="A53" s="72" t="s">
        <v>58</v>
      </c>
      <c r="D53" s="80">
        <v>211.2</v>
      </c>
    </row>
    <row r="54" spans="1:4">
      <c r="A54" s="72"/>
      <c r="D54" s="80"/>
    </row>
    <row r="55" spans="1:4">
      <c r="A55" s="138" t="s">
        <v>101</v>
      </c>
      <c r="B55" s="138"/>
      <c r="C55" s="138"/>
      <c r="D55" s="138"/>
    </row>
    <row r="56" spans="1:4">
      <c r="A56" s="138" t="s">
        <v>16</v>
      </c>
      <c r="B56" s="138" t="s">
        <v>70</v>
      </c>
      <c r="C56" s="138" t="s">
        <v>71</v>
      </c>
      <c r="D56" s="138" t="s">
        <v>72</v>
      </c>
    </row>
    <row r="57" ht="45" spans="1:4">
      <c r="A57" s="92" t="s">
        <v>42</v>
      </c>
      <c r="B57" s="140" t="s">
        <v>98</v>
      </c>
      <c r="C57" s="141" t="s">
        <v>102</v>
      </c>
      <c r="D57" s="141" t="s">
        <v>103</v>
      </c>
    </row>
    <row r="58" ht="30" spans="1:4">
      <c r="A58" s="92" t="s">
        <v>45</v>
      </c>
      <c r="B58" s="142" t="s">
        <v>99</v>
      </c>
      <c r="C58" s="141" t="s">
        <v>102</v>
      </c>
      <c r="D58" s="141" t="s">
        <v>104</v>
      </c>
    </row>
    <row r="59" ht="19.5" customHeight="1" spans="1:4">
      <c r="A59" s="72"/>
      <c r="D59" s="80"/>
    </row>
    <row r="60" spans="1:4">
      <c r="A60" s="71" t="s">
        <v>105</v>
      </c>
      <c r="B60" s="71"/>
      <c r="C60" s="71"/>
      <c r="D60" s="71"/>
    </row>
    <row r="61" spans="1:4">
      <c r="A61" s="72" t="s">
        <v>106</v>
      </c>
      <c r="B61" s="77" t="s">
        <v>107</v>
      </c>
      <c r="C61" s="72" t="s">
        <v>18</v>
      </c>
      <c r="D61" s="72" t="s">
        <v>19</v>
      </c>
    </row>
    <row r="62" spans="1:4">
      <c r="A62" s="72" t="s">
        <v>65</v>
      </c>
      <c r="B62" t="s">
        <v>66</v>
      </c>
      <c r="C62" s="72"/>
      <c r="D62" s="80">
        <f>Submódulo2.1[[#Totals],[Valor]]</f>
        <v>194.055555555556</v>
      </c>
    </row>
    <row r="63" spans="1:4">
      <c r="A63" s="72" t="s">
        <v>78</v>
      </c>
      <c r="B63" t="s">
        <v>79</v>
      </c>
      <c r="C63" s="72"/>
      <c r="D63" s="80">
        <f>Submódulo2.2[[#Totals],[Valor ]]</f>
        <v>438.676444444444</v>
      </c>
    </row>
    <row r="64" spans="1:4">
      <c r="A64" s="72" t="s">
        <v>96</v>
      </c>
      <c r="B64" t="s">
        <v>97</v>
      </c>
      <c r="C64" s="72"/>
      <c r="D64" s="80">
        <f>Submódulo2.3[[#Totals],[Valor]]</f>
        <v>211.2</v>
      </c>
    </row>
    <row r="65" spans="1:4">
      <c r="A65" s="72" t="s">
        <v>58</v>
      </c>
      <c r="C65" s="72"/>
      <c r="D65" s="80">
        <v>843.932</v>
      </c>
    </row>
    <row r="67" spans="1:4">
      <c r="A67" s="55" t="s">
        <v>108</v>
      </c>
      <c r="B67" s="55"/>
      <c r="C67" s="55"/>
      <c r="D67" s="55"/>
    </row>
    <row r="68" spans="1:4">
      <c r="A68" s="72" t="s">
        <v>109</v>
      </c>
      <c r="B68" s="77" t="s">
        <v>110</v>
      </c>
      <c r="C68" s="72" t="s">
        <v>18</v>
      </c>
      <c r="D68" s="72" t="s">
        <v>19</v>
      </c>
    </row>
    <row r="69" spans="1:4">
      <c r="A69" s="72" t="s">
        <v>42</v>
      </c>
      <c r="B69" t="s">
        <v>111</v>
      </c>
      <c r="D69" s="80">
        <f>((Módulo1[[#Totals],[Valor]]+D62+D64)/12)*Servente!G10</f>
        <v>50.715994537037</v>
      </c>
    </row>
    <row r="70" spans="1:4">
      <c r="A70" s="72" t="s">
        <v>45</v>
      </c>
      <c r="B70" t="s">
        <v>112</v>
      </c>
      <c r="D70" s="80">
        <f>(D40/12)*Servente!G10</f>
        <v>3.44662996296296</v>
      </c>
    </row>
    <row r="71" spans="1:4">
      <c r="A71" s="72" t="s">
        <v>48</v>
      </c>
      <c r="B71" t="s">
        <v>113</v>
      </c>
      <c r="D71" s="80">
        <f>D40*50%*Servente!G10</f>
        <v>20.6797797777778</v>
      </c>
    </row>
    <row r="72" spans="1:4">
      <c r="A72" s="72" t="s">
        <v>50</v>
      </c>
      <c r="B72" t="s">
        <v>114</v>
      </c>
      <c r="D72" s="80">
        <f>((Módulo1[[#Totals],[Valor]]+ResumoMódulo2[[#Totals],[Valor]])/12)*Servente!G11</f>
        <v>66.5704923666667</v>
      </c>
    </row>
    <row r="73" spans="1:4">
      <c r="A73" s="72" t="s">
        <v>53</v>
      </c>
      <c r="B73" t="s">
        <v>115</v>
      </c>
      <c r="D73" s="80">
        <f>D40*50%*Servente!G11</f>
        <v>20.6797797777778</v>
      </c>
    </row>
    <row r="74" spans="1:4">
      <c r="A74" s="72" t="s">
        <v>55</v>
      </c>
      <c r="B74" t="s">
        <v>116</v>
      </c>
      <c r="D74" s="80">
        <f>-D62*Servente!G12</f>
        <v>-4.23041111111111</v>
      </c>
    </row>
    <row r="75" spans="1:4">
      <c r="A75" s="72" t="s">
        <v>58</v>
      </c>
      <c r="D75" s="80">
        <f>SUBTOTAL(109,Módulo3[Valor])</f>
        <v>157.862265311111</v>
      </c>
    </row>
    <row r="76" spans="1:4">
      <c r="A76" s="72"/>
      <c r="D76" s="80"/>
    </row>
    <row r="77" spans="1:4">
      <c r="A77" s="138" t="s">
        <v>117</v>
      </c>
      <c r="B77" s="138"/>
      <c r="C77" s="138"/>
      <c r="D77" s="138"/>
    </row>
    <row r="78" spans="1:4">
      <c r="A78" s="138" t="s">
        <v>16</v>
      </c>
      <c r="B78" s="138" t="s">
        <v>70</v>
      </c>
      <c r="C78" s="138" t="s">
        <v>71</v>
      </c>
      <c r="D78" s="138" t="s">
        <v>72</v>
      </c>
    </row>
    <row r="79" ht="60" spans="1:4">
      <c r="A79" s="92" t="s">
        <v>42</v>
      </c>
      <c r="B79" s="140" t="s">
        <v>111</v>
      </c>
      <c r="C79" s="141" t="s">
        <v>118</v>
      </c>
      <c r="D79" s="141" t="s">
        <v>119</v>
      </c>
    </row>
    <row r="80" ht="60" spans="1:4">
      <c r="A80" s="92" t="s">
        <v>45</v>
      </c>
      <c r="B80" s="142" t="s">
        <v>112</v>
      </c>
      <c r="C80" s="141" t="s">
        <v>120</v>
      </c>
      <c r="D80" s="141" t="s">
        <v>119</v>
      </c>
    </row>
    <row r="81" ht="75" spans="1:4">
      <c r="A81" s="92" t="s">
        <v>48</v>
      </c>
      <c r="B81" s="142" t="s">
        <v>113</v>
      </c>
      <c r="C81" s="141" t="s">
        <v>120</v>
      </c>
      <c r="D81" s="143" t="s">
        <v>121</v>
      </c>
    </row>
    <row r="82" ht="60" spans="1:4">
      <c r="A82" s="92" t="s">
        <v>50</v>
      </c>
      <c r="B82" s="93" t="s">
        <v>114</v>
      </c>
      <c r="C82" s="141" t="s">
        <v>122</v>
      </c>
      <c r="D82" s="143" t="s">
        <v>123</v>
      </c>
    </row>
    <row r="83" ht="75" spans="1:4">
      <c r="A83" s="92" t="s">
        <v>53</v>
      </c>
      <c r="B83" s="93" t="s">
        <v>115</v>
      </c>
      <c r="C83" s="141" t="s">
        <v>120</v>
      </c>
      <c r="D83" s="143" t="s">
        <v>124</v>
      </c>
    </row>
    <row r="84" ht="60" spans="1:4">
      <c r="A84" s="92" t="s">
        <v>55</v>
      </c>
      <c r="B84" s="93" t="s">
        <v>116</v>
      </c>
      <c r="C84" s="141" t="s">
        <v>125</v>
      </c>
      <c r="D84" s="143" t="s">
        <v>126</v>
      </c>
    </row>
    <row r="86" customHeight="1" spans="1:4">
      <c r="A86" s="102" t="s">
        <v>127</v>
      </c>
      <c r="B86" s="102"/>
      <c r="C86" s="102"/>
      <c r="D86" s="102"/>
    </row>
    <row r="87" spans="1:4">
      <c r="A87" s="71" t="s">
        <v>128</v>
      </c>
      <c r="B87" s="71"/>
      <c r="C87" s="71"/>
      <c r="D87" s="71"/>
    </row>
    <row r="88" spans="1:4">
      <c r="A88" s="72" t="s">
        <v>129</v>
      </c>
      <c r="B88" s="77" t="s">
        <v>130</v>
      </c>
      <c r="C88" s="72" t="s">
        <v>131</v>
      </c>
      <c r="D88" s="72" t="s">
        <v>19</v>
      </c>
    </row>
    <row r="89" spans="1:4">
      <c r="A89" s="72" t="s">
        <v>42</v>
      </c>
      <c r="B89" t="s">
        <v>132</v>
      </c>
      <c r="C89" s="72">
        <v>20.71</v>
      </c>
      <c r="D89" s="80">
        <f>(((Módulo1[[#Totals],[Valor]]+ResumoMódulo2[[#Totals],[Valor]]+Módulo3[[#Totals],[Valor]])/30)*C89)/12</f>
        <v>115.043720096092</v>
      </c>
    </row>
    <row r="90" spans="1:4">
      <c r="A90" s="72" t="s">
        <v>45</v>
      </c>
      <c r="B90" t="s">
        <v>133</v>
      </c>
      <c r="C90" s="72">
        <v>1.4181</v>
      </c>
      <c r="D90" s="80">
        <f>(((Módulo1[[#Totals],[Valor]]+ResumoMódulo2[[#Totals],[Valor]]+Módulo3[[#Totals],[Valor]])/30)*C90)/12</f>
        <v>7.87752291010468</v>
      </c>
    </row>
    <row r="91" spans="1:4">
      <c r="A91" s="72" t="s">
        <v>48</v>
      </c>
      <c r="B91" t="s">
        <v>134</v>
      </c>
      <c r="C91" s="72">
        <v>0.1898</v>
      </c>
      <c r="D91" s="80">
        <f>(((Módulo1[[#Totals],[Valor]]+ResumoMódulo2[[#Totals],[Valor]]+Módulo3[[#Totals],[Valor]])/30)*C91)/12</f>
        <v>1.05433597654458</v>
      </c>
    </row>
    <row r="92" spans="1:4">
      <c r="A92" s="72" t="s">
        <v>50</v>
      </c>
      <c r="B92" t="s">
        <v>135</v>
      </c>
      <c r="C92" s="72">
        <v>0.9545</v>
      </c>
      <c r="D92" s="80">
        <f>(((Módulo1[[#Totals],[Valor]]+ResumoMódulo2[[#Totals],[Valor]]+Módulo3[[#Totals],[Valor]])/30)*C92)/12</f>
        <v>5.3022322951096</v>
      </c>
    </row>
    <row r="93" spans="1:4">
      <c r="A93" s="72" t="s">
        <v>53</v>
      </c>
      <c r="B93" t="s">
        <v>136</v>
      </c>
      <c r="C93" s="72">
        <v>2.4723</v>
      </c>
      <c r="D93" s="80">
        <f>(((Módulo1[[#Totals],[Valor]]+ResumoMódulo2[[#Totals],[Valor]]+Módulo3[[#Totals],[Valor]])/30)*C93)/12</f>
        <v>13.7335871170241</v>
      </c>
    </row>
    <row r="94" spans="1:4">
      <c r="A94" s="72" t="s">
        <v>55</v>
      </c>
      <c r="B94" t="s">
        <v>137</v>
      </c>
      <c r="C94" s="72">
        <v>3.4521</v>
      </c>
      <c r="D94" s="80">
        <f>(((Módulo1[[#Totals],[Valor]]+ResumoMódulo2[[#Totals],[Valor]]+Módulo3[[#Totals],[Valor]])/30)*C94)/12</f>
        <v>19.1763605091125</v>
      </c>
    </row>
    <row r="95" spans="1:4">
      <c r="A95" s="72" t="s">
        <v>58</v>
      </c>
      <c r="C95" s="72">
        <f>SUBTOTAL(109,Submódulo4.1[Dias de ausência])</f>
        <v>29.1968</v>
      </c>
      <c r="D95" s="80">
        <f>SUBTOTAL(109,Submódulo4.1[Valor])</f>
        <v>162.187758903987</v>
      </c>
    </row>
    <row r="96" spans="1:4">
      <c r="A96" s="72"/>
      <c r="C96" s="72"/>
      <c r="D96" s="80"/>
    </row>
    <row r="97" spans="1:4">
      <c r="A97" s="138" t="s">
        <v>138</v>
      </c>
      <c r="B97" s="138"/>
      <c r="C97" s="138"/>
      <c r="D97" s="138"/>
    </row>
    <row r="98" spans="1:4">
      <c r="A98" s="138" t="s">
        <v>16</v>
      </c>
      <c r="B98" s="138" t="s">
        <v>70</v>
      </c>
      <c r="C98" s="138" t="s">
        <v>71</v>
      </c>
      <c r="D98" s="138" t="s">
        <v>72</v>
      </c>
    </row>
    <row r="99" spans="1:4">
      <c r="A99" s="92" t="s">
        <v>139</v>
      </c>
      <c r="B99" s="140" t="s">
        <v>140</v>
      </c>
      <c r="C99" s="141"/>
      <c r="D99" s="141"/>
    </row>
    <row r="100" ht="45" spans="1:4">
      <c r="A100" s="92" t="s">
        <v>139</v>
      </c>
      <c r="B100" s="142" t="s">
        <v>141</v>
      </c>
      <c r="C100" s="141" t="s">
        <v>142</v>
      </c>
      <c r="D100" s="141" t="s">
        <v>143</v>
      </c>
    </row>
    <row r="101" spans="1:4">
      <c r="A101" s="72"/>
      <c r="C101" s="72"/>
      <c r="D101" s="80"/>
    </row>
    <row r="102" spans="1:4">
      <c r="A102" s="71" t="s">
        <v>144</v>
      </c>
      <c r="B102" s="71"/>
      <c r="C102" s="71"/>
      <c r="D102" s="71"/>
    </row>
    <row r="103" spans="1:4">
      <c r="A103" s="72" t="s">
        <v>145</v>
      </c>
      <c r="B103" s="77" t="s">
        <v>146</v>
      </c>
      <c r="C103" s="72" t="s">
        <v>18</v>
      </c>
      <c r="D103" s="72" t="s">
        <v>19</v>
      </c>
    </row>
    <row r="104" spans="1:4">
      <c r="A104" s="72" t="s">
        <v>42</v>
      </c>
      <c r="B104" t="s">
        <v>147</v>
      </c>
      <c r="C104" s="72"/>
      <c r="D104" s="80"/>
    </row>
    <row r="105" spans="1:4">
      <c r="A105" s="72" t="s">
        <v>58</v>
      </c>
      <c r="C105" s="72"/>
      <c r="D105" s="80">
        <f>SUBTOTAL(109,Submódulo4.2[Valor])</f>
        <v>0</v>
      </c>
    </row>
    <row r="107" spans="1:4">
      <c r="A107" s="71" t="s">
        <v>148</v>
      </c>
      <c r="B107" s="71"/>
      <c r="C107" s="71"/>
      <c r="D107" s="71"/>
    </row>
    <row r="108" spans="1:4">
      <c r="A108" s="72" t="s">
        <v>149</v>
      </c>
      <c r="B108" s="77" t="s">
        <v>150</v>
      </c>
      <c r="C108" s="72" t="s">
        <v>18</v>
      </c>
      <c r="D108" s="72" t="s">
        <v>19</v>
      </c>
    </row>
    <row r="109" spans="1:4">
      <c r="A109" s="72" t="s">
        <v>129</v>
      </c>
      <c r="B109" t="s">
        <v>130</v>
      </c>
      <c r="D109" s="80">
        <f>Submódulo4.1[[#Totals],[Valor]]</f>
        <v>162.187758903987</v>
      </c>
    </row>
    <row r="110" spans="1:4">
      <c r="A110" s="72" t="s">
        <v>145</v>
      </c>
      <c r="B110" t="s">
        <v>151</v>
      </c>
      <c r="D110" s="80">
        <f>Submódulo4.2[[#Totals],[Valor]]</f>
        <v>0</v>
      </c>
    </row>
    <row r="111" spans="1:4">
      <c r="A111" s="72" t="s">
        <v>58</v>
      </c>
      <c r="D111" s="80">
        <f>SUBTOTAL(109,ResumoMódulo4[Valor])</f>
        <v>162.187758903987</v>
      </c>
    </row>
    <row r="113" spans="1:4">
      <c r="A113" s="55" t="s">
        <v>152</v>
      </c>
      <c r="B113" s="55"/>
      <c r="C113" s="55"/>
      <c r="D113" s="55"/>
    </row>
    <row r="114" spans="1:4">
      <c r="A114" s="72" t="s">
        <v>153</v>
      </c>
      <c r="B114" s="77" t="s">
        <v>154</v>
      </c>
      <c r="C114" s="72" t="s">
        <v>18</v>
      </c>
      <c r="D114" s="72" t="s">
        <v>19</v>
      </c>
    </row>
    <row r="115" spans="1:4">
      <c r="A115" s="72" t="s">
        <v>42</v>
      </c>
      <c r="B115" t="s">
        <v>155</v>
      </c>
      <c r="D115" s="80" t="e">
        <f>#REF!</f>
        <v>#REF!</v>
      </c>
    </row>
    <row r="116" spans="1:4">
      <c r="A116" s="72" t="s">
        <v>45</v>
      </c>
      <c r="B116" t="s">
        <v>156</v>
      </c>
      <c r="D116" s="80" t="e">
        <f>#REF!/#REF!</f>
        <v>#REF!</v>
      </c>
    </row>
    <row r="117" spans="1:4">
      <c r="A117" s="72" t="s">
        <v>48</v>
      </c>
      <c r="B117" t="s">
        <v>157</v>
      </c>
      <c r="D117" s="80" t="e">
        <f>#REF!/#REF!</f>
        <v>#REF!</v>
      </c>
    </row>
    <row r="118" spans="1:4">
      <c r="A118" s="72" t="s">
        <v>50</v>
      </c>
      <c r="B118" t="s">
        <v>158</v>
      </c>
      <c r="D118" s="80"/>
    </row>
    <row r="119" spans="1:4">
      <c r="A119" s="72" t="s">
        <v>58</v>
      </c>
      <c r="D119" s="80" t="e">
        <f>SUBTOTAL(109,Módulo5[Valor])</f>
        <v>#REF!</v>
      </c>
    </row>
    <row r="120" spans="1:4">
      <c r="A120" s="72"/>
      <c r="D120" s="80"/>
    </row>
    <row r="121" spans="1:4">
      <c r="A121" s="138" t="s">
        <v>159</v>
      </c>
      <c r="B121" s="138"/>
      <c r="C121" s="138"/>
      <c r="D121" s="138"/>
    </row>
    <row r="122" spans="1:4">
      <c r="A122" s="138" t="s">
        <v>16</v>
      </c>
      <c r="B122" s="138" t="s">
        <v>70</v>
      </c>
      <c r="C122" s="138" t="s">
        <v>71</v>
      </c>
      <c r="D122" s="138" t="s">
        <v>72</v>
      </c>
    </row>
    <row r="123" spans="1:4">
      <c r="A123" s="92" t="s">
        <v>42</v>
      </c>
      <c r="B123" s="140" t="s">
        <v>155</v>
      </c>
      <c r="C123" s="141" t="s">
        <v>160</v>
      </c>
      <c r="D123" s="141"/>
    </row>
    <row r="124" ht="30" spans="1:4">
      <c r="A124" s="92" t="s">
        <v>45</v>
      </c>
      <c r="B124" s="142" t="s">
        <v>156</v>
      </c>
      <c r="C124" s="141" t="s">
        <v>161</v>
      </c>
      <c r="D124" s="141" t="s">
        <v>162</v>
      </c>
    </row>
    <row r="125" ht="30" spans="1:4">
      <c r="A125" s="92" t="s">
        <v>48</v>
      </c>
      <c r="B125" s="142" t="s">
        <v>157</v>
      </c>
      <c r="C125" s="141" t="s">
        <v>163</v>
      </c>
      <c r="D125" s="141" t="s">
        <v>162</v>
      </c>
    </row>
    <row r="126" spans="1:4">
      <c r="A126" s="92" t="s">
        <v>50</v>
      </c>
      <c r="B126" s="142" t="s">
        <v>158</v>
      </c>
      <c r="C126" s="141"/>
      <c r="D126" s="141"/>
    </row>
    <row r="128" spans="1:4">
      <c r="A128" s="55" t="s">
        <v>164</v>
      </c>
      <c r="B128" s="55"/>
      <c r="C128" s="55"/>
      <c r="D128" s="55"/>
    </row>
    <row r="129" outlineLevel="1" spans="1:4">
      <c r="A129" s="72" t="s">
        <v>165</v>
      </c>
      <c r="B129" t="s">
        <v>166</v>
      </c>
      <c r="C129" s="72" t="s">
        <v>38</v>
      </c>
      <c r="D129" s="72" t="s">
        <v>19</v>
      </c>
    </row>
    <row r="130" outlineLevel="1" spans="1:4">
      <c r="A130" s="72" t="s">
        <v>42</v>
      </c>
      <c r="B130" t="s">
        <v>167</v>
      </c>
      <c r="C130" s="82">
        <f>G16</f>
        <v>0.0471</v>
      </c>
      <c r="D130" s="80" t="e">
        <f>Módulo6[[#This Row],[Percentual]]*(D141+D142+D143+D144+D145)</f>
        <v>#REF!</v>
      </c>
    </row>
    <row r="131" outlineLevel="1" spans="1:4">
      <c r="A131" s="72" t="s">
        <v>45</v>
      </c>
      <c r="B131" t="s">
        <v>59</v>
      </c>
      <c r="C131" s="82">
        <f>G17</f>
        <v>0.0467</v>
      </c>
      <c r="D131" s="80" t="e">
        <f>(SUM(D141:D145)+D130)*Módulo6[[#This Row],[Percentual]]</f>
        <v>#REF!</v>
      </c>
    </row>
    <row r="132" spans="1:4">
      <c r="A132" s="72" t="s">
        <v>48</v>
      </c>
      <c r="B132" t="s">
        <v>168</v>
      </c>
      <c r="C132" s="82">
        <f>SUM(C133:C135)</f>
        <v>0.1425</v>
      </c>
      <c r="D132" s="80" t="e">
        <f>Módulo6[[#This Row],[Percentual]]*D148</f>
        <v>#REF!</v>
      </c>
    </row>
    <row r="133" spans="1:4">
      <c r="A133" s="72" t="s">
        <v>169</v>
      </c>
      <c r="B133" t="s">
        <v>60</v>
      </c>
      <c r="C133" s="82">
        <f>G18</f>
        <v>0.0165</v>
      </c>
      <c r="D133" s="80" t="e">
        <f>Módulo6[[#This Row],[Percentual]]*D148</f>
        <v>#REF!</v>
      </c>
    </row>
    <row r="134" spans="1:4">
      <c r="A134" s="72" t="s">
        <v>170</v>
      </c>
      <c r="B134" t="s">
        <v>62</v>
      </c>
      <c r="C134" s="82">
        <f>G19</f>
        <v>0.076</v>
      </c>
      <c r="D134" s="80" t="e">
        <f>Módulo6[[#This Row],[Percentual]]*D148</f>
        <v>#REF!</v>
      </c>
    </row>
    <row r="135" spans="1:4">
      <c r="A135" s="72" t="s">
        <v>171</v>
      </c>
      <c r="B135" t="s">
        <v>64</v>
      </c>
      <c r="C135" s="82">
        <f>G20</f>
        <v>0.05</v>
      </c>
      <c r="D135" s="80" t="e">
        <f>Módulo6[[#This Row],[Percentual]]*D148</f>
        <v>#REF!</v>
      </c>
    </row>
    <row r="136" spans="1:4">
      <c r="A136" s="72" t="s">
        <v>58</v>
      </c>
      <c r="C136" s="29"/>
      <c r="D136" s="80" t="e">
        <f>SUM(D130:D132)</f>
        <v>#REF!</v>
      </c>
    </row>
    <row r="137" spans="1:4">
      <c r="A137" s="72"/>
      <c r="C137" s="29"/>
      <c r="D137" s="80"/>
    </row>
    <row r="139" spans="1:4">
      <c r="A139" s="55" t="s">
        <v>172</v>
      </c>
      <c r="B139" s="55"/>
      <c r="C139" s="55"/>
      <c r="D139" s="55"/>
    </row>
    <row r="140" spans="1:4">
      <c r="A140" s="72" t="s">
        <v>16</v>
      </c>
      <c r="B140" s="72" t="s">
        <v>173</v>
      </c>
      <c r="C140" s="72" t="s">
        <v>102</v>
      </c>
      <c r="D140" s="72" t="s">
        <v>19</v>
      </c>
    </row>
    <row r="141" spans="1:4">
      <c r="A141" s="72" t="s">
        <v>42</v>
      </c>
      <c r="B141" t="s">
        <v>36</v>
      </c>
      <c r="D141" s="80">
        <f>Módulo1[[#Totals],[Valor]]</f>
        <v>998</v>
      </c>
    </row>
    <row r="142" spans="1:4">
      <c r="A142" s="72" t="s">
        <v>45</v>
      </c>
      <c r="B142" t="s">
        <v>61</v>
      </c>
      <c r="D142" s="80">
        <f>ResumoMódulo2[[#Totals],[Valor]]</f>
        <v>843.932</v>
      </c>
    </row>
    <row r="143" spans="1:4">
      <c r="A143" s="72" t="s">
        <v>48</v>
      </c>
      <c r="B143" t="s">
        <v>108</v>
      </c>
      <c r="D143" s="80">
        <f>Módulo3[[#Totals],[Valor]]</f>
        <v>157.862265311111</v>
      </c>
    </row>
    <row r="144" spans="1:4">
      <c r="A144" s="72" t="s">
        <v>50</v>
      </c>
      <c r="B144" t="s">
        <v>174</v>
      </c>
      <c r="D144" s="80">
        <f>ResumoMódulo4[[#Totals],[Valor]]</f>
        <v>162.187758903987</v>
      </c>
    </row>
    <row r="145" spans="1:4">
      <c r="A145" s="72" t="s">
        <v>53</v>
      </c>
      <c r="B145" t="s">
        <v>152</v>
      </c>
      <c r="D145" s="80" t="e">
        <f>Módulo5[[#Totals],[Valor]]</f>
        <v>#REF!</v>
      </c>
    </row>
    <row r="146" spans="1:4">
      <c r="A146" t="s">
        <v>175</v>
      </c>
      <c r="D146" s="80" t="e">
        <f>SUM(D141:D145)</f>
        <v>#REF!</v>
      </c>
    </row>
    <row r="147" spans="1:4">
      <c r="A147" s="72" t="s">
        <v>55</v>
      </c>
      <c r="B147" t="s">
        <v>164</v>
      </c>
      <c r="D147" s="80" t="e">
        <f>Módulo6[[#Totals],[Valor]]</f>
        <v>#REF!</v>
      </c>
    </row>
    <row r="148" spans="1:4">
      <c r="A148" s="122" t="s">
        <v>176</v>
      </c>
      <c r="B148" s="122"/>
      <c r="C148" s="122"/>
      <c r="D148" s="144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3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topLeftCell="A136" workbookViewId="0">
      <selection activeCell="F159" sqref="F159"/>
    </sheetView>
  </sheetViews>
  <sheetFormatPr defaultColWidth="9.14285714285714" defaultRowHeight="15" outlineLevelCol="6"/>
  <cols>
    <col min="1" max="1" width="10.8857142857143" customWidth="1"/>
    <col min="2" max="2" width="46.1428571428571" customWidth="1"/>
    <col min="3" max="3" width="24.8857142857143" customWidth="1"/>
    <col min="4" max="4" width="37.4285714285714" customWidth="1"/>
    <col min="6" max="6" width="22.8571428571429" customWidth="1"/>
    <col min="7" max="7" width="13.4285714285714" customWidth="1"/>
    <col min="8" max="8" width="11" customWidth="1"/>
    <col min="9" max="9" width="11.4285714285714" customWidth="1"/>
  </cols>
  <sheetData>
    <row r="2" ht="19.5" spans="1:4">
      <c r="A2" s="48" t="s">
        <v>177</v>
      </c>
      <c r="B2" s="48"/>
      <c r="C2" s="48"/>
      <c r="D2" s="48"/>
    </row>
    <row r="3" ht="15.75" spans="1:4">
      <c r="A3" s="49" t="s">
        <v>178</v>
      </c>
      <c r="B3" s="49"/>
      <c r="C3" s="49"/>
      <c r="D3" s="49"/>
    </row>
    <row r="4" spans="1:4">
      <c r="A4" s="50" t="s">
        <v>179</v>
      </c>
      <c r="B4" s="51" t="s">
        <v>180</v>
      </c>
      <c r="C4" s="52"/>
      <c r="D4" s="52"/>
    </row>
    <row r="5" ht="9" customHeight="1" spans="1:4">
      <c r="A5" s="53"/>
      <c r="B5" s="54"/>
      <c r="C5" s="54"/>
      <c r="D5" s="54"/>
    </row>
    <row r="6" ht="15.75" spans="1:4">
      <c r="A6" s="55" t="s">
        <v>181</v>
      </c>
      <c r="B6" s="55"/>
      <c r="C6" s="55"/>
      <c r="D6" s="55"/>
    </row>
    <row r="7" ht="15.75" spans="1:4">
      <c r="A7" s="56" t="s">
        <v>42</v>
      </c>
      <c r="B7" s="57" t="s">
        <v>182</v>
      </c>
      <c r="C7" s="58" t="s">
        <v>183</v>
      </c>
      <c r="D7" s="58"/>
    </row>
    <row r="8" spans="1:4">
      <c r="A8" s="59" t="s">
        <v>45</v>
      </c>
      <c r="B8" s="60" t="s">
        <v>184</v>
      </c>
      <c r="C8" s="61" t="s">
        <v>185</v>
      </c>
      <c r="D8" s="61"/>
    </row>
    <row r="9" spans="1:4">
      <c r="A9" s="62" t="s">
        <v>48</v>
      </c>
      <c r="B9" s="63" t="s">
        <v>186</v>
      </c>
      <c r="C9" s="61" t="s">
        <v>187</v>
      </c>
      <c r="D9" s="61"/>
    </row>
    <row r="10" spans="1:4">
      <c r="A10" s="59" t="s">
        <v>53</v>
      </c>
      <c r="B10" s="60" t="s">
        <v>188</v>
      </c>
      <c r="C10" s="61" t="s">
        <v>189</v>
      </c>
      <c r="D10" s="61"/>
    </row>
    <row r="11" ht="15.75" spans="1:4">
      <c r="A11" s="64" t="s">
        <v>190</v>
      </c>
      <c r="B11" s="64"/>
      <c r="C11" s="64"/>
      <c r="D11" s="64"/>
    </row>
    <row r="12" ht="16.5" spans="1:4">
      <c r="A12" s="65" t="s">
        <v>191</v>
      </c>
      <c r="B12" s="65"/>
      <c r="C12" s="64" t="s">
        <v>192</v>
      </c>
      <c r="D12" s="66" t="s">
        <v>193</v>
      </c>
    </row>
    <row r="13" ht="15.75" spans="1:4">
      <c r="A13" s="67" t="s">
        <v>194</v>
      </c>
      <c r="B13" s="67"/>
      <c r="C13" s="61" t="s">
        <v>195</v>
      </c>
      <c r="D13" s="68">
        <f>RESUMO!D3</f>
        <v>2</v>
      </c>
    </row>
    <row r="14" spans="1:4">
      <c r="A14" s="69"/>
      <c r="B14" s="69"/>
      <c r="C14" s="61"/>
      <c r="D14" s="70"/>
    </row>
    <row r="15" ht="15.75" spans="1:7">
      <c r="A15" s="64" t="s">
        <v>14</v>
      </c>
      <c r="B15" s="64"/>
      <c r="C15" s="64"/>
      <c r="D15" s="64"/>
      <c r="F15" s="71"/>
      <c r="G15" s="71"/>
    </row>
    <row r="16" ht="15.75" spans="1:4">
      <c r="A16" s="72" t="s">
        <v>16</v>
      </c>
      <c r="B16" t="s">
        <v>17</v>
      </c>
      <c r="C16" s="72" t="s">
        <v>18</v>
      </c>
      <c r="D16" s="72" t="s">
        <v>19</v>
      </c>
    </row>
    <row r="17" spans="1:6">
      <c r="A17" s="72">
        <v>1</v>
      </c>
      <c r="B17" t="s">
        <v>20</v>
      </c>
      <c r="C17" s="73" t="s">
        <v>102</v>
      </c>
      <c r="D17" s="73" t="str">
        <f>A13</f>
        <v>Vigilante</v>
      </c>
      <c r="F17" s="128"/>
    </row>
    <row r="18" spans="1:4">
      <c r="A18" s="72">
        <v>2</v>
      </c>
      <c r="B18" t="s">
        <v>23</v>
      </c>
      <c r="C18" s="73" t="s">
        <v>196</v>
      </c>
      <c r="D18" s="73" t="s">
        <v>197</v>
      </c>
    </row>
    <row r="19" spans="1:4">
      <c r="A19" s="72">
        <v>3</v>
      </c>
      <c r="B19" t="s">
        <v>26</v>
      </c>
      <c r="C19" s="73" t="str">
        <f>C9</f>
        <v>CCT PB000205/2022</v>
      </c>
      <c r="D19" s="74">
        <v>1262</v>
      </c>
    </row>
    <row r="20" spans="1:4">
      <c r="A20" s="72">
        <v>4</v>
      </c>
      <c r="B20" t="s">
        <v>29</v>
      </c>
      <c r="C20" s="73" t="str">
        <f>C9</f>
        <v>CCT PB000205/2022</v>
      </c>
      <c r="D20" s="75" t="s">
        <v>198</v>
      </c>
    </row>
    <row r="21" spans="1:4">
      <c r="A21" s="72">
        <v>5</v>
      </c>
      <c r="B21" t="s">
        <v>33</v>
      </c>
      <c r="C21" s="73" t="str">
        <f>C9</f>
        <v>CCT PB000205/2022</v>
      </c>
      <c r="D21" s="76" t="s">
        <v>199</v>
      </c>
    </row>
    <row r="22" spans="6:7">
      <c r="F22" s="71"/>
      <c r="G22" s="71"/>
    </row>
    <row r="23" spans="1:4">
      <c r="A23" s="55" t="s">
        <v>36</v>
      </c>
      <c r="B23" s="55"/>
      <c r="C23" s="55"/>
      <c r="D23" s="55"/>
    </row>
    <row r="24" spans="1:7">
      <c r="A24" s="72" t="s">
        <v>39</v>
      </c>
      <c r="B24" s="77" t="s">
        <v>40</v>
      </c>
      <c r="C24" s="72" t="s">
        <v>18</v>
      </c>
      <c r="D24" s="72" t="s">
        <v>19</v>
      </c>
      <c r="G24" s="78"/>
    </row>
    <row r="25" spans="1:7">
      <c r="A25" s="72" t="s">
        <v>42</v>
      </c>
      <c r="B25" t="s">
        <v>43</v>
      </c>
      <c r="C25" s="75"/>
      <c r="D25" s="74">
        <f>D19</f>
        <v>1262</v>
      </c>
      <c r="G25" s="78"/>
    </row>
    <row r="26" spans="1:7">
      <c r="A26" s="72" t="s">
        <v>45</v>
      </c>
      <c r="B26" t="s">
        <v>46</v>
      </c>
      <c r="C26" s="79">
        <v>0.3</v>
      </c>
      <c r="D26" s="74">
        <f>TRUNC((D25*C26),2)</f>
        <v>378.6</v>
      </c>
      <c r="G26" s="78"/>
    </row>
    <row r="27" spans="1:4">
      <c r="A27" s="72" t="s">
        <v>48</v>
      </c>
      <c r="B27" t="s">
        <v>49</v>
      </c>
      <c r="C27" s="75"/>
      <c r="D27" s="74">
        <v>0</v>
      </c>
    </row>
    <row r="28" spans="1:4">
      <c r="A28" s="72" t="s">
        <v>50</v>
      </c>
      <c r="B28" t="s">
        <v>51</v>
      </c>
      <c r="C28" s="75"/>
      <c r="D28" s="74">
        <v>0</v>
      </c>
    </row>
    <row r="29" spans="1:4">
      <c r="A29" s="72" t="s">
        <v>53</v>
      </c>
      <c r="B29" t="s">
        <v>54</v>
      </c>
      <c r="C29" s="75"/>
      <c r="D29" s="74">
        <v>0</v>
      </c>
    </row>
    <row r="30" spans="1:4">
      <c r="A30" s="72" t="s">
        <v>55</v>
      </c>
      <c r="B30" t="s">
        <v>56</v>
      </c>
      <c r="C30" s="75"/>
      <c r="D30" s="74">
        <v>0</v>
      </c>
    </row>
    <row r="31" spans="1:7">
      <c r="A31" s="72" t="s">
        <v>58</v>
      </c>
      <c r="C31" s="72"/>
      <c r="D31" s="80">
        <f>TRUNC((SUM(D25:D30)),2)</f>
        <v>1640.6</v>
      </c>
      <c r="F31" s="71"/>
      <c r="G31" s="71"/>
    </row>
    <row r="33" spans="1:7">
      <c r="A33" s="81" t="s">
        <v>61</v>
      </c>
      <c r="B33" s="81"/>
      <c r="C33" s="81"/>
      <c r="D33" s="81"/>
      <c r="G33" s="78"/>
    </row>
    <row r="35" spans="1:4">
      <c r="A35" s="71" t="s">
        <v>63</v>
      </c>
      <c r="B35" s="71"/>
      <c r="C35" s="71"/>
      <c r="D35" s="71"/>
    </row>
    <row r="36" spans="1:4">
      <c r="A36" s="72" t="s">
        <v>65</v>
      </c>
      <c r="B36" s="77" t="s">
        <v>66</v>
      </c>
      <c r="C36" s="72" t="s">
        <v>38</v>
      </c>
      <c r="D36" s="72" t="s">
        <v>19</v>
      </c>
    </row>
    <row r="37" spans="1:7">
      <c r="A37" s="72" t="s">
        <v>42</v>
      </c>
      <c r="B37" t="s">
        <v>67</v>
      </c>
      <c r="C37" s="82">
        <f>(1/12)</f>
        <v>0.0833333333333333</v>
      </c>
      <c r="D37" s="80">
        <f>TRUNC($D$31*C37,2)</f>
        <v>136.71</v>
      </c>
      <c r="F37" s="83"/>
      <c r="G37" s="83"/>
    </row>
    <row r="38" spans="1:7">
      <c r="A38" s="72" t="s">
        <v>45</v>
      </c>
      <c r="B38" t="s">
        <v>68</v>
      </c>
      <c r="C38" s="82">
        <f>(((1+1/3)/12))</f>
        <v>0.111111111111111</v>
      </c>
      <c r="D38" s="80">
        <f>TRUNC($D$31*C38,2)</f>
        <v>182.28</v>
      </c>
      <c r="F38" s="83"/>
      <c r="G38" s="83"/>
    </row>
    <row r="39" spans="1:7">
      <c r="A39" s="72" t="s">
        <v>58</v>
      </c>
      <c r="D39" s="80">
        <f>TRUNC((SUM(D37:D38)),2)</f>
        <v>318.99</v>
      </c>
      <c r="F39" s="83"/>
      <c r="G39" s="83"/>
    </row>
    <row r="40" ht="15.75" spans="4:7">
      <c r="D40" s="80"/>
      <c r="F40" s="83"/>
      <c r="G40" s="83"/>
    </row>
    <row r="41" ht="16.5" spans="1:7">
      <c r="A41" s="84" t="s">
        <v>200</v>
      </c>
      <c r="B41" s="84"/>
      <c r="C41" s="85" t="s">
        <v>201</v>
      </c>
      <c r="D41" s="86">
        <f>D31</f>
        <v>1640.6</v>
      </c>
      <c r="F41" s="83"/>
      <c r="G41" s="83"/>
    </row>
    <row r="42" ht="16.5" spans="1:7">
      <c r="A42" s="84"/>
      <c r="B42" s="84"/>
      <c r="C42" s="87" t="s">
        <v>202</v>
      </c>
      <c r="D42" s="86">
        <f>D39</f>
        <v>318.99</v>
      </c>
      <c r="F42" s="83"/>
      <c r="G42" s="83"/>
    </row>
    <row r="43" ht="16.5" spans="1:7">
      <c r="A43" s="84"/>
      <c r="B43" s="84"/>
      <c r="C43" s="85" t="s">
        <v>203</v>
      </c>
      <c r="D43" s="88">
        <f>TRUNC(SUM(D41:D42),2)</f>
        <v>1959.59</v>
      </c>
      <c r="F43" s="83"/>
      <c r="G43" s="83"/>
    </row>
    <row r="44" ht="15.75" spans="1:7">
      <c r="A44" s="72"/>
      <c r="C44" s="89"/>
      <c r="D44" s="80"/>
      <c r="F44" s="83"/>
      <c r="G44" s="83"/>
    </row>
    <row r="45" spans="1:4">
      <c r="A45" s="71" t="s">
        <v>77</v>
      </c>
      <c r="B45" s="71"/>
      <c r="C45" s="71"/>
      <c r="D45" s="71"/>
    </row>
    <row r="46" spans="1:4">
      <c r="A46" s="72" t="s">
        <v>78</v>
      </c>
      <c r="B46" s="77" t="s">
        <v>79</v>
      </c>
      <c r="C46" s="72" t="s">
        <v>38</v>
      </c>
      <c r="D46" s="72" t="s">
        <v>80</v>
      </c>
    </row>
    <row r="47" spans="1:4">
      <c r="A47" s="72" t="s">
        <v>42</v>
      </c>
      <c r="B47" t="s">
        <v>81</v>
      </c>
      <c r="C47" s="82">
        <v>0.2</v>
      </c>
      <c r="D47" s="129">
        <f t="shared" ref="D47:D54" si="0">TRUNC(($D$43*C47),2)</f>
        <v>391.91</v>
      </c>
    </row>
    <row r="48" spans="1:4">
      <c r="A48" s="72" t="s">
        <v>45</v>
      </c>
      <c r="B48" t="s">
        <v>82</v>
      </c>
      <c r="C48" s="82">
        <v>0.025</v>
      </c>
      <c r="D48" s="129">
        <f t="shared" si="0"/>
        <v>48.98</v>
      </c>
    </row>
    <row r="49" spans="1:4">
      <c r="A49" s="72" t="s">
        <v>48</v>
      </c>
      <c r="B49" t="s">
        <v>204</v>
      </c>
      <c r="C49" s="90">
        <v>0.06</v>
      </c>
      <c r="D49" s="129">
        <f t="shared" si="0"/>
        <v>117.57</v>
      </c>
    </row>
    <row r="50" spans="1:4">
      <c r="A50" s="72" t="s">
        <v>50</v>
      </c>
      <c r="B50" t="s">
        <v>84</v>
      </c>
      <c r="C50" s="82">
        <v>0.015</v>
      </c>
      <c r="D50" s="129">
        <f t="shared" si="0"/>
        <v>29.39</v>
      </c>
    </row>
    <row r="51" spans="1:4">
      <c r="A51" s="72" t="s">
        <v>53</v>
      </c>
      <c r="B51" t="s">
        <v>85</v>
      </c>
      <c r="C51" s="82">
        <v>0.01</v>
      </c>
      <c r="D51" s="129">
        <f t="shared" si="0"/>
        <v>19.59</v>
      </c>
    </row>
    <row r="52" spans="1:4">
      <c r="A52" s="72" t="s">
        <v>55</v>
      </c>
      <c r="B52" t="s">
        <v>86</v>
      </c>
      <c r="C52" s="82">
        <v>0.006</v>
      </c>
      <c r="D52" s="129">
        <f t="shared" si="0"/>
        <v>11.75</v>
      </c>
    </row>
    <row r="53" spans="1:4">
      <c r="A53" s="72" t="s">
        <v>87</v>
      </c>
      <c r="B53" t="s">
        <v>88</v>
      </c>
      <c r="C53" s="82">
        <v>0.002</v>
      </c>
      <c r="D53" s="129">
        <f t="shared" si="0"/>
        <v>3.91</v>
      </c>
    </row>
    <row r="54" spans="1:4">
      <c r="A54" s="72" t="s">
        <v>89</v>
      </c>
      <c r="B54" t="s">
        <v>90</v>
      </c>
      <c r="C54" s="82">
        <v>0.08</v>
      </c>
      <c r="D54" s="129">
        <f t="shared" si="0"/>
        <v>156.76</v>
      </c>
    </row>
    <row r="55" spans="1:4">
      <c r="A55" s="72" t="s">
        <v>58</v>
      </c>
      <c r="C55" s="89">
        <f>SUM(C47:C54)</f>
        <v>0.398</v>
      </c>
      <c r="D55" s="80">
        <f>TRUNC((SUM(D47:D54)),2)</f>
        <v>779.86</v>
      </c>
    </row>
    <row r="56" spans="1:4">
      <c r="A56" s="72"/>
      <c r="C56" s="89"/>
      <c r="D56" s="80"/>
    </row>
    <row r="57" spans="1:4">
      <c r="A57" s="71" t="s">
        <v>95</v>
      </c>
      <c r="B57" s="71"/>
      <c r="C57" s="71"/>
      <c r="D57" s="71"/>
    </row>
    <row r="58" spans="1:4">
      <c r="A58" s="72" t="s">
        <v>96</v>
      </c>
      <c r="B58" s="77" t="s">
        <v>97</v>
      </c>
      <c r="C58" s="72" t="s">
        <v>18</v>
      </c>
      <c r="D58" s="72" t="s">
        <v>19</v>
      </c>
    </row>
    <row r="59" spans="1:4">
      <c r="A59" s="72" t="s">
        <v>42</v>
      </c>
      <c r="B59" t="s">
        <v>98</v>
      </c>
      <c r="C59" s="73"/>
      <c r="D59" s="91">
        <v>0</v>
      </c>
    </row>
    <row r="60" spans="1:4">
      <c r="A60" s="72" t="s">
        <v>45</v>
      </c>
      <c r="B60" t="s">
        <v>99</v>
      </c>
      <c r="C60" s="73" t="str">
        <f>C9</f>
        <v>CCT PB000205/2022</v>
      </c>
      <c r="D60" s="74">
        <f>TRUNC(((((365/12)*20)/2)-((((365/12)*20)/2)*0.2)),2)</f>
        <v>243.33</v>
      </c>
    </row>
    <row r="61" spans="1:4">
      <c r="A61" s="72" t="s">
        <v>48</v>
      </c>
      <c r="B61" t="s">
        <v>100</v>
      </c>
      <c r="C61" s="73"/>
      <c r="D61" s="74">
        <v>0</v>
      </c>
    </row>
    <row r="62" spans="1:6">
      <c r="A62" s="92" t="s">
        <v>50</v>
      </c>
      <c r="B62" s="93" t="s">
        <v>205</v>
      </c>
      <c r="C62" s="94"/>
      <c r="D62" s="94">
        <f>TRUNC(((((($D$25+$D$26)/220)*1.5)*(365/12))/2),2)</f>
        <v>170.11</v>
      </c>
      <c r="F62" s="93"/>
    </row>
    <row r="63" spans="1:4">
      <c r="A63" s="92" t="s">
        <v>53</v>
      </c>
      <c r="B63" s="77" t="s">
        <v>206</v>
      </c>
      <c r="C63" s="73"/>
      <c r="D63" s="74">
        <v>20</v>
      </c>
    </row>
    <row r="64" spans="1:4">
      <c r="A64" s="92" t="s">
        <v>55</v>
      </c>
      <c r="B64" s="95" t="s">
        <v>207</v>
      </c>
      <c r="C64" s="73"/>
      <c r="D64" s="74">
        <v>0</v>
      </c>
    </row>
    <row r="65" spans="1:4">
      <c r="A65" s="92" t="s">
        <v>87</v>
      </c>
      <c r="B65" s="95" t="s">
        <v>208</v>
      </c>
      <c r="C65" s="94"/>
      <c r="D65" s="74">
        <f>((7.46*12)/2)/12</f>
        <v>3.73</v>
      </c>
    </row>
    <row r="66" spans="1:4">
      <c r="A66" s="72" t="s">
        <v>58</v>
      </c>
      <c r="D66" s="80">
        <f>TRUNC((SUM(D59:D65)),2)</f>
        <v>437.17</v>
      </c>
    </row>
    <row r="67" spans="1:4">
      <c r="A67" s="72"/>
      <c r="D67" s="80"/>
    </row>
    <row r="68" spans="1:4">
      <c r="A68" s="71" t="s">
        <v>105</v>
      </c>
      <c r="B68" s="71"/>
      <c r="C68" s="71"/>
      <c r="D68" s="71"/>
    </row>
    <row r="69" spans="1:4">
      <c r="A69" s="72" t="s">
        <v>106</v>
      </c>
      <c r="B69" s="77" t="s">
        <v>107</v>
      </c>
      <c r="C69" s="72" t="s">
        <v>18</v>
      </c>
      <c r="D69" s="72" t="s">
        <v>19</v>
      </c>
    </row>
    <row r="70" spans="1:4">
      <c r="A70" s="72" t="s">
        <v>65</v>
      </c>
      <c r="B70" t="s">
        <v>66</v>
      </c>
      <c r="C70" s="72"/>
      <c r="D70" s="80">
        <f>D39</f>
        <v>318.99</v>
      </c>
    </row>
    <row r="71" spans="1:4">
      <c r="A71" s="72" t="s">
        <v>78</v>
      </c>
      <c r="B71" t="s">
        <v>79</v>
      </c>
      <c r="C71" s="72"/>
      <c r="D71" s="80">
        <f>D55</f>
        <v>779.86</v>
      </c>
    </row>
    <row r="72" spans="1:4">
      <c r="A72" s="72" t="s">
        <v>96</v>
      </c>
      <c r="B72" t="s">
        <v>97</v>
      </c>
      <c r="C72" s="72"/>
      <c r="D72" s="80">
        <f>D66</f>
        <v>437.17</v>
      </c>
    </row>
    <row r="73" spans="1:4">
      <c r="A73" s="72" t="s">
        <v>58</v>
      </c>
      <c r="C73" s="72"/>
      <c r="D73" s="80">
        <f>TRUNC((SUM(D70:D72)),2)</f>
        <v>1536.02</v>
      </c>
    </row>
    <row r="75" spans="1:4">
      <c r="A75" s="55" t="s">
        <v>108</v>
      </c>
      <c r="B75" s="55"/>
      <c r="C75" s="55"/>
      <c r="D75" s="55"/>
    </row>
    <row r="76" spans="1:4">
      <c r="A76" s="72" t="s">
        <v>109</v>
      </c>
      <c r="B76" s="77" t="s">
        <v>110</v>
      </c>
      <c r="C76" s="72" t="s">
        <v>38</v>
      </c>
      <c r="D76" s="72" t="s">
        <v>19</v>
      </c>
    </row>
    <row r="77" spans="1:4">
      <c r="A77" s="72" t="s">
        <v>42</v>
      </c>
      <c r="B77" t="s">
        <v>111</v>
      </c>
      <c r="C77" s="90">
        <f>((1/12)*2%)</f>
        <v>0.00166666666666667</v>
      </c>
      <c r="D77" s="74">
        <f>TRUNC(($D$31*C77),2)</f>
        <v>2.73</v>
      </c>
    </row>
    <row r="78" spans="1:4">
      <c r="A78" s="72" t="s">
        <v>45</v>
      </c>
      <c r="B78" t="s">
        <v>112</v>
      </c>
      <c r="C78" s="96">
        <v>0.08</v>
      </c>
      <c r="D78" s="80">
        <f>TRUNC(($D$77*C78),2)</f>
        <v>0.21</v>
      </c>
    </row>
    <row r="79" ht="30" spans="1:4">
      <c r="A79" s="72" t="s">
        <v>48</v>
      </c>
      <c r="B79" s="97" t="s">
        <v>113</v>
      </c>
      <c r="C79" s="98">
        <f>(0.08*0.4*0.02)</f>
        <v>0.00064</v>
      </c>
      <c r="D79" s="94">
        <f>TRUNC(($D$31*C79),2)</f>
        <v>1.04</v>
      </c>
    </row>
    <row r="80" spans="1:4">
      <c r="A80" s="72" t="s">
        <v>50</v>
      </c>
      <c r="B80" t="s">
        <v>114</v>
      </c>
      <c r="C80" s="99">
        <f>(((7/30)/12)*0.98)</f>
        <v>0.0190555555555556</v>
      </c>
      <c r="D80" s="100">
        <f>TRUNC(($D$31*C80),2)</f>
        <v>31.26</v>
      </c>
    </row>
    <row r="81" ht="30" spans="1:4">
      <c r="A81" s="72" t="s">
        <v>53</v>
      </c>
      <c r="B81" s="97" t="s">
        <v>209</v>
      </c>
      <c r="C81" s="98">
        <f>C55</f>
        <v>0.398</v>
      </c>
      <c r="D81" s="94">
        <f>TRUNC(($D$80*C81),2)</f>
        <v>12.44</v>
      </c>
    </row>
    <row r="82" ht="30" spans="1:4">
      <c r="A82" s="72" t="s">
        <v>55</v>
      </c>
      <c r="B82" s="97" t="s">
        <v>115</v>
      </c>
      <c r="C82" s="99">
        <f>(0.08*0.4*0.98)</f>
        <v>0.03136</v>
      </c>
      <c r="D82" s="94">
        <f>TRUNC(($D$31*C82),2)</f>
        <v>51.44</v>
      </c>
    </row>
    <row r="83" spans="1:4">
      <c r="A83" s="72" t="s">
        <v>58</v>
      </c>
      <c r="C83" s="96">
        <f>SUM(C77:C82)</f>
        <v>0.530722222222222</v>
      </c>
      <c r="D83" s="80">
        <f>TRUNC((SUM(D77:D82)),2)</f>
        <v>99.12</v>
      </c>
    </row>
    <row r="84" ht="15.75" spans="1:4">
      <c r="A84" s="72"/>
      <c r="D84" s="80"/>
    </row>
    <row r="85" ht="16.5" spans="1:4">
      <c r="A85" s="84" t="s">
        <v>210</v>
      </c>
      <c r="B85" s="84"/>
      <c r="C85" s="85" t="s">
        <v>201</v>
      </c>
      <c r="D85" s="86">
        <f>D31</f>
        <v>1640.6</v>
      </c>
    </row>
    <row r="86" ht="16.5" spans="1:4">
      <c r="A86" s="84"/>
      <c r="B86" s="84"/>
      <c r="C86" s="87" t="s">
        <v>211</v>
      </c>
      <c r="D86" s="86">
        <f>D73</f>
        <v>1536.02</v>
      </c>
    </row>
    <row r="87" ht="16.5" spans="1:4">
      <c r="A87" s="84"/>
      <c r="B87" s="84"/>
      <c r="C87" s="85" t="s">
        <v>212</v>
      </c>
      <c r="D87" s="86">
        <f>D83</f>
        <v>99.12</v>
      </c>
    </row>
    <row r="88" ht="16.5" spans="1:4">
      <c r="A88" s="84"/>
      <c r="B88" s="84"/>
      <c r="C88" s="87" t="s">
        <v>203</v>
      </c>
      <c r="D88" s="88">
        <f>TRUNC((SUM(D85:D87)),2)</f>
        <v>3275.74</v>
      </c>
    </row>
    <row r="89" ht="15.75" spans="1:4">
      <c r="A89" s="72"/>
      <c r="D89" s="80"/>
    </row>
    <row r="90" spans="1:4">
      <c r="A90" s="102" t="s">
        <v>127</v>
      </c>
      <c r="B90" s="102"/>
      <c r="C90" s="102"/>
      <c r="D90" s="102"/>
    </row>
    <row r="91" spans="1:4">
      <c r="A91" s="71" t="s">
        <v>128</v>
      </c>
      <c r="B91" s="71"/>
      <c r="C91" s="71"/>
      <c r="D91" s="71"/>
    </row>
    <row r="92" spans="1:4">
      <c r="A92" s="72" t="s">
        <v>129</v>
      </c>
      <c r="B92" s="77" t="s">
        <v>130</v>
      </c>
      <c r="C92" s="72" t="s">
        <v>38</v>
      </c>
      <c r="D92" s="72" t="s">
        <v>19</v>
      </c>
    </row>
    <row r="93" spans="1:4">
      <c r="A93" s="72" t="s">
        <v>42</v>
      </c>
      <c r="B93" t="s">
        <v>213</v>
      </c>
      <c r="C93" s="96">
        <f>(((1+1/3)/12)/12)+((1/12)/12)</f>
        <v>0.0162037037037037</v>
      </c>
      <c r="D93" s="80">
        <f>TRUNC(($D$88*C93),2)</f>
        <v>53.07</v>
      </c>
    </row>
    <row r="94" spans="1:4">
      <c r="A94" s="72" t="s">
        <v>45</v>
      </c>
      <c r="B94" t="s">
        <v>133</v>
      </c>
      <c r="C94" s="90">
        <f>((5/30)/12)</f>
        <v>0.0138888888888889</v>
      </c>
      <c r="D94" s="94">
        <f>TRUNC(($D$88*C94),2)</f>
        <v>45.49</v>
      </c>
    </row>
    <row r="95" spans="1:4">
      <c r="A95" s="72" t="s">
        <v>48</v>
      </c>
      <c r="B95" t="s">
        <v>134</v>
      </c>
      <c r="C95" s="90">
        <f>((5/30)/12)*0.02</f>
        <v>0.000277777777777778</v>
      </c>
      <c r="D95" s="94">
        <f>TRUNC(($D$88*C95),2)</f>
        <v>0.9</v>
      </c>
    </row>
    <row r="96" ht="30" spans="1:4">
      <c r="A96" s="92" t="s">
        <v>50</v>
      </c>
      <c r="B96" s="97" t="s">
        <v>135</v>
      </c>
      <c r="C96" s="98">
        <f>((15/30)/12)*0.08</f>
        <v>0.00333333333333333</v>
      </c>
      <c r="D96" s="94">
        <f>TRUNC(($D$88*C96),2)</f>
        <v>10.91</v>
      </c>
    </row>
    <row r="97" spans="1:4">
      <c r="A97" s="72" t="s">
        <v>53</v>
      </c>
      <c r="B97" t="s">
        <v>136</v>
      </c>
      <c r="C97" s="90">
        <f>((1+1/3)/12)*0.03*((4/12))</f>
        <v>0.00111111111111111</v>
      </c>
      <c r="D97" s="94">
        <f>TRUNC(($D$88*C97),2)</f>
        <v>3.63</v>
      </c>
    </row>
    <row r="98" ht="30" spans="1:4">
      <c r="A98" s="72" t="s">
        <v>55</v>
      </c>
      <c r="B98" s="97" t="s">
        <v>214</v>
      </c>
      <c r="C98" s="103">
        <v>0</v>
      </c>
      <c r="D98" s="94">
        <f>TRUNC($D$88*C98)</f>
        <v>0</v>
      </c>
    </row>
    <row r="99" spans="1:4">
      <c r="A99" s="72" t="s">
        <v>58</v>
      </c>
      <c r="C99" s="96">
        <f>SUM(C93:C98)</f>
        <v>0.0348148148148148</v>
      </c>
      <c r="D99" s="80">
        <f>TRUNC(SUM(D93:D98),2)</f>
        <v>114</v>
      </c>
    </row>
    <row r="100" spans="1:4">
      <c r="A100" s="72"/>
      <c r="C100" s="72"/>
      <c r="D100" s="80"/>
    </row>
    <row r="101" spans="1:4">
      <c r="A101" s="71" t="s">
        <v>144</v>
      </c>
      <c r="B101" s="71"/>
      <c r="C101" s="71"/>
      <c r="D101" s="71"/>
    </row>
    <row r="102" spans="1:4">
      <c r="A102" s="72" t="s">
        <v>145</v>
      </c>
      <c r="B102" s="77" t="s">
        <v>146</v>
      </c>
      <c r="C102" s="72" t="s">
        <v>18</v>
      </c>
      <c r="D102" s="72" t="s">
        <v>19</v>
      </c>
    </row>
    <row r="103" ht="105" spans="1:4">
      <c r="A103" s="92" t="s">
        <v>42</v>
      </c>
      <c r="B103" s="104" t="s">
        <v>147</v>
      </c>
      <c r="C103" s="105" t="s">
        <v>215</v>
      </c>
      <c r="D103" s="106" t="s">
        <v>216</v>
      </c>
    </row>
    <row r="104" spans="1:4">
      <c r="A104" s="72" t="s">
        <v>58</v>
      </c>
      <c r="C104" s="72"/>
      <c r="D104" s="108" t="str">
        <f>D103</f>
        <v>*=TRUNCAR(($D$86/220)*(1*(365/12))/2)</v>
      </c>
    </row>
    <row r="106" spans="1:4">
      <c r="A106" s="71" t="s">
        <v>148</v>
      </c>
      <c r="B106" s="71"/>
      <c r="C106" s="71"/>
      <c r="D106" s="71"/>
    </row>
    <row r="107" spans="1:4">
      <c r="A107" s="72" t="s">
        <v>149</v>
      </c>
      <c r="B107" s="77" t="s">
        <v>150</v>
      </c>
      <c r="C107" s="72" t="s">
        <v>18</v>
      </c>
      <c r="D107" s="72" t="s">
        <v>19</v>
      </c>
    </row>
    <row r="108" spans="1:4">
      <c r="A108" s="72" t="s">
        <v>129</v>
      </c>
      <c r="B108" t="s">
        <v>130</v>
      </c>
      <c r="D108" s="74">
        <f>D99</f>
        <v>114</v>
      </c>
    </row>
    <row r="109" spans="1:4">
      <c r="A109" s="72" t="s">
        <v>145</v>
      </c>
      <c r="B109" t="s">
        <v>151</v>
      </c>
      <c r="C109" s="77"/>
      <c r="D109" s="109" t="str">
        <f>Submódulo4.260_55[[#Totals],[Valor]]</f>
        <v>*=TRUNCAR(($D$86/220)*(1*(365/12))/2)</v>
      </c>
    </row>
    <row r="110" ht="75" spans="1:4">
      <c r="A110" s="92" t="s">
        <v>58</v>
      </c>
      <c r="B110" s="93"/>
      <c r="C110" s="105" t="s">
        <v>217</v>
      </c>
      <c r="D110" s="110">
        <f>TRUNC((SUM(D108:D109)),2)</f>
        <v>114</v>
      </c>
    </row>
    <row r="112" spans="1:4">
      <c r="A112" s="55" t="s">
        <v>152</v>
      </c>
      <c r="B112" s="55"/>
      <c r="C112" s="55"/>
      <c r="D112" s="55"/>
    </row>
    <row r="113" spans="1:4">
      <c r="A113" s="92" t="s">
        <v>153</v>
      </c>
      <c r="B113" s="93" t="s">
        <v>154</v>
      </c>
      <c r="C113" s="92" t="s">
        <v>18</v>
      </c>
      <c r="D113" s="92" t="s">
        <v>19</v>
      </c>
    </row>
    <row r="114" spans="1:4">
      <c r="A114" s="72" t="s">
        <v>42</v>
      </c>
      <c r="B114" t="s">
        <v>218</v>
      </c>
      <c r="D114" s="111">
        <f>Uniformes!G13</f>
        <v>127.02</v>
      </c>
    </row>
    <row r="115" spans="1:4">
      <c r="A115" s="72" t="s">
        <v>45</v>
      </c>
      <c r="B115" t="s">
        <v>219</v>
      </c>
      <c r="D115" s="111">
        <v>0</v>
      </c>
    </row>
    <row r="116" spans="1:4">
      <c r="A116" s="72" t="s">
        <v>48</v>
      </c>
      <c r="B116" t="s">
        <v>156</v>
      </c>
      <c r="D116" s="111">
        <f>Materiais!F13</f>
        <v>56.5</v>
      </c>
    </row>
    <row r="117" spans="1:4">
      <c r="A117" s="72" t="s">
        <v>50</v>
      </c>
      <c r="B117" t="s">
        <v>157</v>
      </c>
      <c r="D117" s="111">
        <f>Equipamentos!F10</f>
        <v>46.98</v>
      </c>
    </row>
    <row r="118" spans="1:4">
      <c r="A118" s="72" t="s">
        <v>53</v>
      </c>
      <c r="B118" t="s">
        <v>220</v>
      </c>
      <c r="D118" s="111">
        <f>H116</f>
        <v>0</v>
      </c>
    </row>
    <row r="119" spans="1:4">
      <c r="A119" s="72" t="s">
        <v>58</v>
      </c>
      <c r="D119" s="113">
        <f>TRUNC(SUM(D114:D118),2)</f>
        <v>230.5</v>
      </c>
    </row>
    <row r="120" ht="15.75"/>
    <row r="121" ht="16.5" spans="1:4">
      <c r="A121" s="84" t="s">
        <v>221</v>
      </c>
      <c r="B121" s="84"/>
      <c r="C121" s="85" t="s">
        <v>201</v>
      </c>
      <c r="D121" s="86">
        <f>D31</f>
        <v>1640.6</v>
      </c>
    </row>
    <row r="122" ht="16.5" spans="1:4">
      <c r="A122" s="84"/>
      <c r="B122" s="84"/>
      <c r="C122" s="87" t="s">
        <v>211</v>
      </c>
      <c r="D122" s="86">
        <f>D73</f>
        <v>1536.02</v>
      </c>
    </row>
    <row r="123" ht="16.5" spans="1:4">
      <c r="A123" s="84"/>
      <c r="B123" s="84"/>
      <c r="C123" s="85" t="s">
        <v>212</v>
      </c>
      <c r="D123" s="86">
        <f>D83</f>
        <v>99.12</v>
      </c>
    </row>
    <row r="124" ht="16.5" spans="1:4">
      <c r="A124" s="84"/>
      <c r="B124" s="84"/>
      <c r="C124" s="87" t="s">
        <v>222</v>
      </c>
      <c r="D124" s="86">
        <f>D110</f>
        <v>114</v>
      </c>
    </row>
    <row r="125" ht="16.5" spans="1:4">
      <c r="A125" s="84"/>
      <c r="B125" s="84"/>
      <c r="C125" s="85" t="s">
        <v>223</v>
      </c>
      <c r="D125" s="86">
        <f>D119</f>
        <v>230.5</v>
      </c>
    </row>
    <row r="126" ht="16.5" spans="1:4">
      <c r="A126" s="84"/>
      <c r="B126" s="84"/>
      <c r="C126" s="87" t="s">
        <v>203</v>
      </c>
      <c r="D126" s="88">
        <f>TRUNC((SUM(D121:D125)),2)</f>
        <v>3620.24</v>
      </c>
    </row>
    <row r="127" ht="15.75"/>
    <row r="128" ht="15.75" spans="1:7">
      <c r="A128" s="55" t="s">
        <v>164</v>
      </c>
      <c r="B128" s="55"/>
      <c r="C128" s="55"/>
      <c r="D128" s="55"/>
      <c r="F128" s="114" t="s">
        <v>224</v>
      </c>
      <c r="G128" s="114"/>
    </row>
    <row r="129" ht="15.75" spans="1:7">
      <c r="A129" s="72" t="s">
        <v>165</v>
      </c>
      <c r="B129" t="s">
        <v>166</v>
      </c>
      <c r="C129" s="72" t="s">
        <v>38</v>
      </c>
      <c r="D129" s="72" t="s">
        <v>19</v>
      </c>
      <c r="F129" s="115" t="s">
        <v>225</v>
      </c>
      <c r="G129" s="98">
        <f>C132</f>
        <v>0.0865</v>
      </c>
    </row>
    <row r="130" ht="15.75" spans="1:7">
      <c r="A130" s="72" t="s">
        <v>42</v>
      </c>
      <c r="B130" t="s">
        <v>167</v>
      </c>
      <c r="C130" s="116">
        <v>0.05</v>
      </c>
      <c r="D130" s="111">
        <f>TRUNC(($D$126*C130),2)</f>
        <v>181.01</v>
      </c>
      <c r="F130" s="117" t="s">
        <v>226</v>
      </c>
      <c r="G130" s="130">
        <f>TRUNC(SUM(D126,D130,D131),2)</f>
        <v>4029.32</v>
      </c>
    </row>
    <row r="131" ht="15.75" spans="1:7">
      <c r="A131" s="72" t="s">
        <v>45</v>
      </c>
      <c r="B131" t="s">
        <v>59</v>
      </c>
      <c r="C131" s="116">
        <v>0.06</v>
      </c>
      <c r="D131" s="111">
        <f>TRUNC((C131*(D126+D130)),2)</f>
        <v>228.07</v>
      </c>
      <c r="F131" s="115" t="s">
        <v>227</v>
      </c>
      <c r="G131" s="119">
        <f>(100-8.65)/100</f>
        <v>0.9135</v>
      </c>
    </row>
    <row r="132" ht="15.75" spans="1:7">
      <c r="A132" s="72" t="s">
        <v>48</v>
      </c>
      <c r="B132" t="s">
        <v>168</v>
      </c>
      <c r="C132" s="90">
        <f>SUM(C133:C135)</f>
        <v>0.0865</v>
      </c>
      <c r="D132" s="74">
        <f>TRUNC((SUM(D133:D135)),2)</f>
        <v>381.53</v>
      </c>
      <c r="F132" s="117" t="s">
        <v>224</v>
      </c>
      <c r="G132" s="130">
        <f>TRUNC((G130/G131),2)</f>
        <v>4410.85</v>
      </c>
    </row>
    <row r="133" ht="15.75" spans="1:4">
      <c r="A133" s="72"/>
      <c r="B133" t="s">
        <v>228</v>
      </c>
      <c r="C133" s="90">
        <v>0.0065</v>
      </c>
      <c r="D133" s="74">
        <f>TRUNC(($G$132*C133),2)</f>
        <v>28.67</v>
      </c>
    </row>
    <row r="134" spans="1:4">
      <c r="A134" s="72"/>
      <c r="B134" t="s">
        <v>229</v>
      </c>
      <c r="C134" s="90">
        <v>0.03</v>
      </c>
      <c r="D134" s="74">
        <f>TRUNC(($G$132*C134),2)</f>
        <v>132.32</v>
      </c>
    </row>
    <row r="135" spans="1:4">
      <c r="A135" s="72"/>
      <c r="B135" t="s">
        <v>230</v>
      </c>
      <c r="C135" s="90">
        <v>0.05</v>
      </c>
      <c r="D135" s="74">
        <f>TRUNC(($G$132*C135),2)</f>
        <v>220.54</v>
      </c>
    </row>
    <row r="136" spans="1:4">
      <c r="A136" s="72" t="s">
        <v>58</v>
      </c>
      <c r="C136" s="29"/>
      <c r="D136" s="80">
        <f>TRUNC(SUM(D130:D132),2)</f>
        <v>790.61</v>
      </c>
    </row>
    <row r="137" spans="1:4">
      <c r="A137" s="72"/>
      <c r="C137" s="29"/>
      <c r="D137" s="80"/>
    </row>
    <row r="139" spans="1:4">
      <c r="A139" s="55" t="s">
        <v>172</v>
      </c>
      <c r="B139" s="55"/>
      <c r="C139" s="55"/>
      <c r="D139" s="55"/>
    </row>
    <row r="140" spans="1:4">
      <c r="A140" s="72" t="s">
        <v>16</v>
      </c>
      <c r="B140" s="72" t="s">
        <v>173</v>
      </c>
      <c r="C140" s="72" t="s">
        <v>102</v>
      </c>
      <c r="D140" s="72" t="s">
        <v>19</v>
      </c>
    </row>
    <row r="141" spans="1:4">
      <c r="A141" s="72" t="s">
        <v>42</v>
      </c>
      <c r="B141" t="s">
        <v>36</v>
      </c>
      <c r="D141" s="80">
        <f>D31</f>
        <v>1640.6</v>
      </c>
    </row>
    <row r="142" spans="1:4">
      <c r="A142" s="72" t="s">
        <v>45</v>
      </c>
      <c r="B142" t="s">
        <v>61</v>
      </c>
      <c r="D142" s="80">
        <f>D73</f>
        <v>1536.02</v>
      </c>
    </row>
    <row r="143" spans="1:4">
      <c r="A143" s="72" t="s">
        <v>48</v>
      </c>
      <c r="B143" t="s">
        <v>108</v>
      </c>
      <c r="D143" s="80">
        <f>D83</f>
        <v>99.12</v>
      </c>
    </row>
    <row r="144" spans="1:4">
      <c r="A144" s="72" t="s">
        <v>50</v>
      </c>
      <c r="B144" t="s">
        <v>174</v>
      </c>
      <c r="D144" s="80">
        <f>D110</f>
        <v>114</v>
      </c>
    </row>
    <row r="145" spans="1:4">
      <c r="A145" s="72" t="s">
        <v>53</v>
      </c>
      <c r="B145" t="s">
        <v>152</v>
      </c>
      <c r="D145" s="80">
        <f>D119</f>
        <v>230.5</v>
      </c>
    </row>
    <row r="146" spans="2:4">
      <c r="B146" s="121" t="s">
        <v>231</v>
      </c>
      <c r="D146" s="80">
        <f>TRUNC(SUM(D141:D145),2)</f>
        <v>3620.24</v>
      </c>
    </row>
    <row r="147" spans="1:4">
      <c r="A147" s="72" t="s">
        <v>55</v>
      </c>
      <c r="B147" t="s">
        <v>164</v>
      </c>
      <c r="D147" s="80">
        <f>D136</f>
        <v>790.61</v>
      </c>
    </row>
    <row r="148" spans="1:4">
      <c r="A148" s="122"/>
      <c r="B148" s="123" t="s">
        <v>232</v>
      </c>
      <c r="C148" s="122"/>
      <c r="D148" s="124">
        <f>TRUNC((SUM(D141:D145)+D147),2)</f>
        <v>4410.85</v>
      </c>
    </row>
    <row r="149" spans="1:4">
      <c r="A149" s="125"/>
      <c r="B149" s="126" t="s">
        <v>233</v>
      </c>
      <c r="C149" s="125"/>
      <c r="D149" s="127">
        <f>TRUNC((D148*2),2)</f>
        <v>8821.7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tabSelected="1" topLeftCell="A128" workbookViewId="0">
      <selection activeCell="G144" sqref="G144"/>
    </sheetView>
  </sheetViews>
  <sheetFormatPr defaultColWidth="9.14285714285714" defaultRowHeight="15" outlineLevelCol="6"/>
  <cols>
    <col min="1" max="1" width="10.552380952381" customWidth="1"/>
    <col min="2" max="2" width="48.5714285714286" customWidth="1"/>
    <col min="3" max="3" width="24.552380952381" customWidth="1"/>
    <col min="4" max="4" width="41" customWidth="1"/>
    <col min="6" max="6" width="22.8571428571429" customWidth="1"/>
    <col min="7" max="7" width="15.552380952381" customWidth="1"/>
    <col min="9" max="9" width="11.4285714285714"/>
  </cols>
  <sheetData>
    <row r="2" ht="19.5" spans="1:4">
      <c r="A2" s="48" t="s">
        <v>177</v>
      </c>
      <c r="B2" s="48"/>
      <c r="C2" s="48"/>
      <c r="D2" s="48"/>
    </row>
    <row r="3" ht="15.75" spans="1:4">
      <c r="A3" s="49" t="s">
        <v>178</v>
      </c>
      <c r="B3" s="49"/>
      <c r="C3" s="49"/>
      <c r="D3" s="49"/>
    </row>
    <row r="4" ht="30" spans="1:4">
      <c r="A4" s="50" t="s">
        <v>179</v>
      </c>
      <c r="B4" s="51" t="s">
        <v>180</v>
      </c>
      <c r="C4" s="52"/>
      <c r="D4" s="52"/>
    </row>
    <row r="5" spans="1:4">
      <c r="A5" s="53"/>
      <c r="B5" s="54"/>
      <c r="C5" s="54"/>
      <c r="D5" s="54"/>
    </row>
    <row r="6" ht="15.75" spans="1:4">
      <c r="A6" s="55" t="s">
        <v>181</v>
      </c>
      <c r="B6" s="55"/>
      <c r="C6" s="55"/>
      <c r="D6" s="55"/>
    </row>
    <row r="7" ht="15.75" spans="1:4">
      <c r="A7" s="56" t="s">
        <v>42</v>
      </c>
      <c r="B7" s="57" t="s">
        <v>182</v>
      </c>
      <c r="C7" s="58" t="s">
        <v>183</v>
      </c>
      <c r="D7" s="58"/>
    </row>
    <row r="8" spans="1:4">
      <c r="A8" s="59" t="s">
        <v>45</v>
      </c>
      <c r="B8" s="60" t="s">
        <v>184</v>
      </c>
      <c r="C8" s="61" t="s">
        <v>185</v>
      </c>
      <c r="D8" s="61"/>
    </row>
    <row r="9" spans="1:4">
      <c r="A9" s="62" t="s">
        <v>48</v>
      </c>
      <c r="B9" s="63" t="s">
        <v>186</v>
      </c>
      <c r="C9" s="61" t="s">
        <v>187</v>
      </c>
      <c r="D9" s="61"/>
    </row>
    <row r="10" spans="1:4">
      <c r="A10" s="59" t="s">
        <v>53</v>
      </c>
      <c r="B10" s="60" t="s">
        <v>188</v>
      </c>
      <c r="C10" s="61" t="s">
        <v>189</v>
      </c>
      <c r="D10" s="61"/>
    </row>
    <row r="11" ht="15.75" spans="1:4">
      <c r="A11" s="64" t="s">
        <v>190</v>
      </c>
      <c r="B11" s="64"/>
      <c r="C11" s="64"/>
      <c r="D11" s="64"/>
    </row>
    <row r="12" ht="16.5" spans="1:4">
      <c r="A12" s="65" t="s">
        <v>191</v>
      </c>
      <c r="B12" s="65"/>
      <c r="C12" s="64" t="s">
        <v>192</v>
      </c>
      <c r="D12" s="66" t="s">
        <v>193</v>
      </c>
    </row>
    <row r="13" ht="15.75" spans="1:4">
      <c r="A13" s="67" t="s">
        <v>194</v>
      </c>
      <c r="B13" s="67"/>
      <c r="C13" s="61" t="s">
        <v>195</v>
      </c>
      <c r="D13" s="68">
        <f>RESUMO!D4</f>
        <v>2</v>
      </c>
    </row>
    <row r="14" spans="1:4">
      <c r="A14" s="69"/>
      <c r="B14" s="69"/>
      <c r="C14" s="61"/>
      <c r="D14" s="70"/>
    </row>
    <row r="15" ht="15.75" spans="1:7">
      <c r="A15" s="64" t="s">
        <v>14</v>
      </c>
      <c r="B15" s="64"/>
      <c r="C15" s="64"/>
      <c r="D15" s="64"/>
      <c r="F15" s="71"/>
      <c r="G15" s="71"/>
    </row>
    <row r="16" ht="15.75" spans="1:4">
      <c r="A16" s="72" t="s">
        <v>16</v>
      </c>
      <c r="B16" t="s">
        <v>17</v>
      </c>
      <c r="C16" s="72" t="s">
        <v>18</v>
      </c>
      <c r="D16" s="72" t="s">
        <v>19</v>
      </c>
    </row>
    <row r="17" spans="1:4">
      <c r="A17" s="72">
        <v>1</v>
      </c>
      <c r="B17" t="s">
        <v>20</v>
      </c>
      <c r="C17" s="73" t="s">
        <v>102</v>
      </c>
      <c r="D17" s="73" t="str">
        <f>A13</f>
        <v>Vigilante</v>
      </c>
    </row>
    <row r="18" spans="1:4">
      <c r="A18" s="72">
        <v>2</v>
      </c>
      <c r="B18" t="s">
        <v>23</v>
      </c>
      <c r="C18" s="73" t="s">
        <v>196</v>
      </c>
      <c r="D18" s="73" t="s">
        <v>197</v>
      </c>
    </row>
    <row r="19" spans="1:4">
      <c r="A19" s="72">
        <v>3</v>
      </c>
      <c r="B19" t="s">
        <v>26</v>
      </c>
      <c r="C19" s="73" t="str">
        <f>C9</f>
        <v>CCT PB000205/2022</v>
      </c>
      <c r="D19" s="74">
        <v>1262</v>
      </c>
    </row>
    <row r="20" spans="1:4">
      <c r="A20" s="72">
        <v>4</v>
      </c>
      <c r="B20" t="s">
        <v>29</v>
      </c>
      <c r="C20" s="73" t="str">
        <f>C9</f>
        <v>CCT PB000205/2022</v>
      </c>
      <c r="D20" s="75" t="s">
        <v>198</v>
      </c>
    </row>
    <row r="21" spans="1:4">
      <c r="A21" s="72">
        <v>5</v>
      </c>
      <c r="B21" t="s">
        <v>33</v>
      </c>
      <c r="C21" s="73" t="str">
        <f>C9</f>
        <v>CCT PB000205/2022</v>
      </c>
      <c r="D21" s="76" t="s">
        <v>199</v>
      </c>
    </row>
    <row r="22" spans="6:7">
      <c r="F22" s="71"/>
      <c r="G22" s="71"/>
    </row>
    <row r="23" spans="1:4">
      <c r="A23" s="55" t="s">
        <v>36</v>
      </c>
      <c r="B23" s="55"/>
      <c r="C23" s="55"/>
      <c r="D23" s="55"/>
    </row>
    <row r="24" spans="1:7">
      <c r="A24" s="72" t="s">
        <v>39</v>
      </c>
      <c r="B24" s="77" t="s">
        <v>40</v>
      </c>
      <c r="C24" s="72" t="s">
        <v>18</v>
      </c>
      <c r="D24" s="72" t="s">
        <v>19</v>
      </c>
      <c r="G24" s="78"/>
    </row>
    <row r="25" spans="1:7">
      <c r="A25" s="72" t="s">
        <v>42</v>
      </c>
      <c r="B25" t="s">
        <v>43</v>
      </c>
      <c r="C25" s="75"/>
      <c r="D25" s="74">
        <f>D19</f>
        <v>1262</v>
      </c>
      <c r="G25" s="78"/>
    </row>
    <row r="26" spans="1:7">
      <c r="A26" s="72" t="s">
        <v>45</v>
      </c>
      <c r="B26" t="s">
        <v>46</v>
      </c>
      <c r="C26" s="79">
        <v>0.3</v>
      </c>
      <c r="D26" s="74">
        <f>TRUNC((D25*C26),2)</f>
        <v>378.6</v>
      </c>
      <c r="G26" s="78"/>
    </row>
    <row r="27" spans="1:4">
      <c r="A27" s="72" t="s">
        <v>48</v>
      </c>
      <c r="B27" t="s">
        <v>49</v>
      </c>
      <c r="C27" s="75"/>
      <c r="D27" s="74">
        <v>0</v>
      </c>
    </row>
    <row r="28" spans="1:4">
      <c r="A28" s="72" t="s">
        <v>50</v>
      </c>
      <c r="B28" t="s">
        <v>51</v>
      </c>
      <c r="C28" s="75"/>
      <c r="D28" s="74">
        <f>TRUNC(((8*(365/12))*(((D25+D26)/220)*20%)/2),2)</f>
        <v>181.46</v>
      </c>
    </row>
    <row r="29" spans="1:4">
      <c r="A29" s="72" t="s">
        <v>53</v>
      </c>
      <c r="B29" t="s">
        <v>54</v>
      </c>
      <c r="C29" s="75"/>
      <c r="D29" s="74">
        <f>TRUNC(((1*(365/12))*(((D25+D26)/220))/2),2)</f>
        <v>113.41</v>
      </c>
    </row>
    <row r="30" spans="1:4">
      <c r="A30" s="72" t="s">
        <v>55</v>
      </c>
      <c r="B30" t="s">
        <v>56</v>
      </c>
      <c r="C30" s="75"/>
      <c r="D30" s="74">
        <v>0</v>
      </c>
    </row>
    <row r="31" spans="1:7">
      <c r="A31" s="72" t="s">
        <v>58</v>
      </c>
      <c r="C31" s="72"/>
      <c r="D31" s="80">
        <f>TRUNC(SUM(D25:D30),2)</f>
        <v>1935.47</v>
      </c>
      <c r="F31" s="71"/>
      <c r="G31" s="71"/>
    </row>
    <row r="33" spans="1:7">
      <c r="A33" s="81" t="s">
        <v>61</v>
      </c>
      <c r="B33" s="81"/>
      <c r="C33" s="81"/>
      <c r="D33" s="81"/>
      <c r="G33" s="78"/>
    </row>
    <row r="35" spans="1:4">
      <c r="A35" s="71" t="s">
        <v>63</v>
      </c>
      <c r="B35" s="71"/>
      <c r="C35" s="71"/>
      <c r="D35" s="71"/>
    </row>
    <row r="36" spans="1:4">
      <c r="A36" s="72" t="s">
        <v>65</v>
      </c>
      <c r="B36" s="77" t="s">
        <v>66</v>
      </c>
      <c r="C36" s="72" t="s">
        <v>38</v>
      </c>
      <c r="D36" s="72" t="s">
        <v>19</v>
      </c>
    </row>
    <row r="37" spans="1:7">
      <c r="A37" s="72" t="s">
        <v>42</v>
      </c>
      <c r="B37" t="s">
        <v>67</v>
      </c>
      <c r="C37" s="82">
        <f>(1/12)</f>
        <v>0.0833333333333333</v>
      </c>
      <c r="D37" s="80">
        <f>TRUNC($D$31*C37,2)</f>
        <v>161.28</v>
      </c>
      <c r="F37" s="83"/>
      <c r="G37" s="83"/>
    </row>
    <row r="38" spans="1:7">
      <c r="A38" s="72" t="s">
        <v>45</v>
      </c>
      <c r="B38" t="s">
        <v>68</v>
      </c>
      <c r="C38" s="82">
        <f>(((1+1/3)/12))</f>
        <v>0.111111111111111</v>
      </c>
      <c r="D38" s="80">
        <f>TRUNC($D$31*C38,2)</f>
        <v>215.05</v>
      </c>
      <c r="F38" s="83"/>
      <c r="G38" s="83"/>
    </row>
    <row r="39" spans="1:7">
      <c r="A39" s="72" t="s">
        <v>58</v>
      </c>
      <c r="D39" s="80">
        <f>TRUNC((SUM(D37:D38)),2)</f>
        <v>376.33</v>
      </c>
      <c r="F39" s="83"/>
      <c r="G39" s="83"/>
    </row>
    <row r="40" ht="15.75" spans="4:7">
      <c r="D40" s="80"/>
      <c r="F40" s="83"/>
      <c r="G40" s="83"/>
    </row>
    <row r="41" ht="16.5" spans="1:7">
      <c r="A41" s="84" t="s">
        <v>200</v>
      </c>
      <c r="B41" s="84"/>
      <c r="C41" s="85" t="s">
        <v>201</v>
      </c>
      <c r="D41" s="86">
        <f>D31</f>
        <v>1935.47</v>
      </c>
      <c r="F41" s="83"/>
      <c r="G41" s="83"/>
    </row>
    <row r="42" ht="16.5" spans="1:7">
      <c r="A42" s="84"/>
      <c r="B42" s="84"/>
      <c r="C42" s="87" t="s">
        <v>202</v>
      </c>
      <c r="D42" s="86">
        <f>D39</f>
        <v>376.33</v>
      </c>
      <c r="F42" s="83"/>
      <c r="G42" s="83"/>
    </row>
    <row r="43" ht="16.5" spans="1:7">
      <c r="A43" s="84"/>
      <c r="B43" s="84"/>
      <c r="C43" s="85" t="s">
        <v>203</v>
      </c>
      <c r="D43" s="88">
        <f>TRUNC((SUM(D41:D42)),2)</f>
        <v>2311.8</v>
      </c>
      <c r="F43" s="83"/>
      <c r="G43" s="83"/>
    </row>
    <row r="44" ht="15.75" spans="1:7">
      <c r="A44" s="72"/>
      <c r="C44" s="89"/>
      <c r="D44" s="80"/>
      <c r="F44" s="83"/>
      <c r="G44" s="83"/>
    </row>
    <row r="45" spans="1:4">
      <c r="A45" s="71" t="s">
        <v>77</v>
      </c>
      <c r="B45" s="71"/>
      <c r="C45" s="71"/>
      <c r="D45" s="71"/>
    </row>
    <row r="46" spans="1:4">
      <c r="A46" s="72" t="s">
        <v>78</v>
      </c>
      <c r="B46" s="77" t="s">
        <v>79</v>
      </c>
      <c r="C46" s="72" t="s">
        <v>38</v>
      </c>
      <c r="D46" s="72" t="s">
        <v>80</v>
      </c>
    </row>
    <row r="47" spans="1:4">
      <c r="A47" s="72" t="s">
        <v>42</v>
      </c>
      <c r="B47" t="s">
        <v>81</v>
      </c>
      <c r="C47" s="82">
        <v>0.2</v>
      </c>
      <c r="D47" s="80">
        <f t="shared" ref="D47:D54" si="0">TRUNC(($D$43*C47),2)</f>
        <v>462.36</v>
      </c>
    </row>
    <row r="48" spans="1:4">
      <c r="A48" s="72" t="s">
        <v>45</v>
      </c>
      <c r="B48" t="s">
        <v>82</v>
      </c>
      <c r="C48" s="82">
        <v>0.025</v>
      </c>
      <c r="D48" s="80">
        <f t="shared" si="0"/>
        <v>57.79</v>
      </c>
    </row>
    <row r="49" spans="1:4">
      <c r="A49" s="72" t="s">
        <v>48</v>
      </c>
      <c r="B49" t="s">
        <v>204</v>
      </c>
      <c r="C49" s="90">
        <v>0.06</v>
      </c>
      <c r="D49" s="74">
        <f t="shared" si="0"/>
        <v>138.7</v>
      </c>
    </row>
    <row r="50" spans="1:4">
      <c r="A50" s="72" t="s">
        <v>50</v>
      </c>
      <c r="B50" t="s">
        <v>84</v>
      </c>
      <c r="C50" s="82">
        <v>0.015</v>
      </c>
      <c r="D50" s="80">
        <f t="shared" si="0"/>
        <v>34.67</v>
      </c>
    </row>
    <row r="51" spans="1:4">
      <c r="A51" s="72" t="s">
        <v>53</v>
      </c>
      <c r="B51" t="s">
        <v>85</v>
      </c>
      <c r="C51" s="82">
        <v>0.01</v>
      </c>
      <c r="D51" s="80">
        <f t="shared" si="0"/>
        <v>23.11</v>
      </c>
    </row>
    <row r="52" spans="1:4">
      <c r="A52" s="72" t="s">
        <v>55</v>
      </c>
      <c r="B52" t="s">
        <v>86</v>
      </c>
      <c r="C52" s="82">
        <v>0.006</v>
      </c>
      <c r="D52" s="80">
        <f t="shared" si="0"/>
        <v>13.87</v>
      </c>
    </row>
    <row r="53" spans="1:4">
      <c r="A53" s="72" t="s">
        <v>87</v>
      </c>
      <c r="B53" t="s">
        <v>88</v>
      </c>
      <c r="C53" s="82">
        <v>0.002</v>
      </c>
      <c r="D53" s="80">
        <f t="shared" si="0"/>
        <v>4.62</v>
      </c>
    </row>
    <row r="54" spans="1:4">
      <c r="A54" s="72" t="s">
        <v>89</v>
      </c>
      <c r="B54" t="s">
        <v>90</v>
      </c>
      <c r="C54" s="82">
        <v>0.08</v>
      </c>
      <c r="D54" s="80">
        <f t="shared" si="0"/>
        <v>184.94</v>
      </c>
    </row>
    <row r="55" spans="1:4">
      <c r="A55" s="72" t="s">
        <v>58</v>
      </c>
      <c r="C55" s="89">
        <f>SUM(C47:C54)</f>
        <v>0.398</v>
      </c>
      <c r="D55" s="80">
        <f>TRUNC(SUM(D47:D54),2)</f>
        <v>920.06</v>
      </c>
    </row>
    <row r="56" spans="1:4">
      <c r="A56" s="72"/>
      <c r="C56" s="89"/>
      <c r="D56" s="80"/>
    </row>
    <row r="57" spans="1:4">
      <c r="A57" s="71" t="s">
        <v>95</v>
      </c>
      <c r="B57" s="71"/>
      <c r="C57" s="71"/>
      <c r="D57" s="71"/>
    </row>
    <row r="58" spans="1:4">
      <c r="A58" s="72" t="s">
        <v>96</v>
      </c>
      <c r="B58" s="77" t="s">
        <v>97</v>
      </c>
      <c r="C58" s="72" t="s">
        <v>18</v>
      </c>
      <c r="D58" s="72" t="s">
        <v>19</v>
      </c>
    </row>
    <row r="59" spans="1:4">
      <c r="A59" s="72" t="s">
        <v>42</v>
      </c>
      <c r="B59" t="s">
        <v>98</v>
      </c>
      <c r="C59" s="73"/>
      <c r="D59" s="91">
        <v>0</v>
      </c>
    </row>
    <row r="60" spans="1:4">
      <c r="A60" s="72" t="s">
        <v>45</v>
      </c>
      <c r="B60" t="s">
        <v>99</v>
      </c>
      <c r="C60" s="73" t="str">
        <f>C9</f>
        <v>CCT PB000205/2022</v>
      </c>
      <c r="D60" s="74">
        <f>TRUNC(((((365/12)*20)/2)-((((365/12)*20)/2)*0.2)),2)</f>
        <v>243.33</v>
      </c>
    </row>
    <row r="61" spans="1:4">
      <c r="A61" s="72" t="s">
        <v>48</v>
      </c>
      <c r="B61" t="s">
        <v>100</v>
      </c>
      <c r="C61" s="73"/>
      <c r="D61" s="74">
        <v>0</v>
      </c>
    </row>
    <row r="62" spans="1:6">
      <c r="A62" s="92" t="s">
        <v>50</v>
      </c>
      <c r="B62" s="93" t="s">
        <v>205</v>
      </c>
      <c r="C62" s="94"/>
      <c r="D62" s="94">
        <f>TRUNC(((((($D$25+$D$26+$D$28+$D$29)/220)*1.5)*(365/12))/2),2)</f>
        <v>200.69</v>
      </c>
      <c r="F62" s="93"/>
    </row>
    <row r="63" spans="1:4">
      <c r="A63" s="92" t="s">
        <v>53</v>
      </c>
      <c r="B63" s="77" t="s">
        <v>206</v>
      </c>
      <c r="C63" s="73"/>
      <c r="D63" s="74">
        <v>20</v>
      </c>
    </row>
    <row r="64" spans="1:4">
      <c r="A64" s="92" t="s">
        <v>55</v>
      </c>
      <c r="B64" s="95" t="s">
        <v>207</v>
      </c>
      <c r="C64" s="73"/>
      <c r="D64" s="74">
        <v>0</v>
      </c>
    </row>
    <row r="65" spans="1:4">
      <c r="A65" s="92" t="s">
        <v>87</v>
      </c>
      <c r="B65" s="95" t="s">
        <v>208</v>
      </c>
      <c r="C65" s="94"/>
      <c r="D65" s="74">
        <f>((8.95*12)/2)/12</f>
        <v>4.475</v>
      </c>
    </row>
    <row r="66" spans="1:4">
      <c r="A66" s="72" t="s">
        <v>58</v>
      </c>
      <c r="D66" s="80">
        <f>TRUNC((SUM(D59:D65)),2)</f>
        <v>468.49</v>
      </c>
    </row>
    <row r="67" spans="1:4">
      <c r="A67" s="72"/>
      <c r="D67" s="80"/>
    </row>
    <row r="68" spans="1:4">
      <c r="A68" s="71" t="s">
        <v>105</v>
      </c>
      <c r="B68" s="71"/>
      <c r="C68" s="71"/>
      <c r="D68" s="71"/>
    </row>
    <row r="69" spans="1:4">
      <c r="A69" s="72" t="s">
        <v>106</v>
      </c>
      <c r="B69" s="77" t="s">
        <v>107</v>
      </c>
      <c r="C69" s="72" t="s">
        <v>18</v>
      </c>
      <c r="D69" s="72" t="s">
        <v>19</v>
      </c>
    </row>
    <row r="70" spans="1:4">
      <c r="A70" s="72" t="s">
        <v>65</v>
      </c>
      <c r="B70" t="s">
        <v>66</v>
      </c>
      <c r="C70" s="72"/>
      <c r="D70" s="80">
        <f>D39</f>
        <v>376.33</v>
      </c>
    </row>
    <row r="71" spans="1:4">
      <c r="A71" s="72" t="s">
        <v>78</v>
      </c>
      <c r="B71" t="s">
        <v>79</v>
      </c>
      <c r="C71" s="72"/>
      <c r="D71" s="80">
        <f>D55</f>
        <v>920.06</v>
      </c>
    </row>
    <row r="72" spans="1:4">
      <c r="A72" s="72" t="s">
        <v>96</v>
      </c>
      <c r="B72" t="s">
        <v>97</v>
      </c>
      <c r="C72" s="72"/>
      <c r="D72" s="80">
        <f>D66</f>
        <v>468.49</v>
      </c>
    </row>
    <row r="73" spans="1:4">
      <c r="A73" s="72" t="s">
        <v>58</v>
      </c>
      <c r="C73" s="72"/>
      <c r="D73" s="80">
        <f>TRUNC((SUM(D70:D72)),2)</f>
        <v>1764.88</v>
      </c>
    </row>
    <row r="75" spans="1:4">
      <c r="A75" s="55" t="s">
        <v>108</v>
      </c>
      <c r="B75" s="55"/>
      <c r="C75" s="55"/>
      <c r="D75" s="55"/>
    </row>
    <row r="76" spans="1:4">
      <c r="A76" s="72" t="s">
        <v>109</v>
      </c>
      <c r="B76" s="77" t="s">
        <v>110</v>
      </c>
      <c r="C76" s="72" t="s">
        <v>38</v>
      </c>
      <c r="D76" s="72" t="s">
        <v>19</v>
      </c>
    </row>
    <row r="77" spans="1:4">
      <c r="A77" s="72" t="s">
        <v>42</v>
      </c>
      <c r="B77" t="s">
        <v>111</v>
      </c>
      <c r="C77" s="90">
        <f>((1/12)*2%)</f>
        <v>0.00166666666666667</v>
      </c>
      <c r="D77" s="74">
        <f>TRUNC(($D$31*C77),2)</f>
        <v>3.22</v>
      </c>
    </row>
    <row r="78" spans="1:4">
      <c r="A78" s="72" t="s">
        <v>45</v>
      </c>
      <c r="B78" t="s">
        <v>112</v>
      </c>
      <c r="C78" s="96">
        <v>0.08</v>
      </c>
      <c r="D78" s="80">
        <f>TRUNC(($D$77*C78),2)</f>
        <v>0.25</v>
      </c>
    </row>
    <row r="79" ht="30" spans="1:4">
      <c r="A79" s="72" t="s">
        <v>48</v>
      </c>
      <c r="B79" s="97" t="s">
        <v>113</v>
      </c>
      <c r="C79" s="98">
        <f>(0.08*0.4*0.02)</f>
        <v>0.00064</v>
      </c>
      <c r="D79" s="94">
        <f>TRUNC(($D$31*C79),2)</f>
        <v>1.23</v>
      </c>
    </row>
    <row r="80" spans="1:4">
      <c r="A80" s="72" t="s">
        <v>50</v>
      </c>
      <c r="B80" t="s">
        <v>114</v>
      </c>
      <c r="C80" s="99">
        <f>(((7/30)/12)*0.98)</f>
        <v>0.0190555555555556</v>
      </c>
      <c r="D80" s="100">
        <f>TRUNC(($D$31*C80),2)</f>
        <v>36.88</v>
      </c>
    </row>
    <row r="81" ht="30" spans="1:4">
      <c r="A81" s="72" t="s">
        <v>53</v>
      </c>
      <c r="B81" s="97" t="s">
        <v>209</v>
      </c>
      <c r="C81" s="98">
        <f>C55</f>
        <v>0.398</v>
      </c>
      <c r="D81" s="94">
        <f>TRUNC(($D$80*C81),2)</f>
        <v>14.67</v>
      </c>
    </row>
    <row r="82" ht="30" spans="1:4">
      <c r="A82" s="72" t="s">
        <v>55</v>
      </c>
      <c r="B82" s="97" t="s">
        <v>115</v>
      </c>
      <c r="C82" s="99">
        <f>(0.08*0.4*0.98)</f>
        <v>0.03136</v>
      </c>
      <c r="D82" s="101">
        <f>TRUNC(($D$31*C82),2)</f>
        <v>60.69</v>
      </c>
    </row>
    <row r="83" spans="1:4">
      <c r="A83" s="72" t="s">
        <v>58</v>
      </c>
      <c r="C83" s="96">
        <f>SUM(C77:C82)</f>
        <v>0.530722222222222</v>
      </c>
      <c r="D83" s="80">
        <f>TRUNC((SUM(D77:D82)),2)</f>
        <v>116.94</v>
      </c>
    </row>
    <row r="84" ht="15.75" spans="1:4">
      <c r="A84" s="72"/>
      <c r="D84" s="80"/>
    </row>
    <row r="85" ht="16.5" spans="1:4">
      <c r="A85" s="84" t="s">
        <v>210</v>
      </c>
      <c r="B85" s="84"/>
      <c r="C85" s="85" t="s">
        <v>201</v>
      </c>
      <c r="D85" s="86">
        <f>D31</f>
        <v>1935.47</v>
      </c>
    </row>
    <row r="86" ht="16.5" spans="1:4">
      <c r="A86" s="84"/>
      <c r="B86" s="84"/>
      <c r="C86" s="87" t="s">
        <v>211</v>
      </c>
      <c r="D86" s="86">
        <f>D73</f>
        <v>1764.88</v>
      </c>
    </row>
    <row r="87" ht="16.5" spans="1:4">
      <c r="A87" s="84"/>
      <c r="B87" s="84"/>
      <c r="C87" s="85" t="s">
        <v>212</v>
      </c>
      <c r="D87" s="86">
        <f>D83</f>
        <v>116.94</v>
      </c>
    </row>
    <row r="88" ht="16.5" spans="1:4">
      <c r="A88" s="84"/>
      <c r="B88" s="84"/>
      <c r="C88" s="87" t="s">
        <v>203</v>
      </c>
      <c r="D88" s="88">
        <f>TRUNC((SUM(D85:D87)),2)</f>
        <v>3817.29</v>
      </c>
    </row>
    <row r="89" ht="15.75" spans="1:4">
      <c r="A89" s="72"/>
      <c r="D89" s="80"/>
    </row>
    <row r="90" spans="1:4">
      <c r="A90" s="102" t="s">
        <v>127</v>
      </c>
      <c r="B90" s="102"/>
      <c r="C90" s="102"/>
      <c r="D90" s="102"/>
    </row>
    <row r="91" spans="1:4">
      <c r="A91" s="71" t="s">
        <v>128</v>
      </c>
      <c r="B91" s="71"/>
      <c r="C91" s="71"/>
      <c r="D91" s="71"/>
    </row>
    <row r="92" spans="1:4">
      <c r="A92" s="72" t="s">
        <v>129</v>
      </c>
      <c r="B92" s="77" t="s">
        <v>130</v>
      </c>
      <c r="C92" s="72" t="s">
        <v>38</v>
      </c>
      <c r="D92" s="72" t="s">
        <v>19</v>
      </c>
    </row>
    <row r="93" spans="1:4">
      <c r="A93" s="72" t="s">
        <v>42</v>
      </c>
      <c r="B93" t="s">
        <v>213</v>
      </c>
      <c r="C93" s="96">
        <f>(((1+1/3)/12)/12)+((1/12)/12)</f>
        <v>0.0162037037037037</v>
      </c>
      <c r="D93" s="80">
        <f>TRUNC(($D$88*C93),2)</f>
        <v>61.85</v>
      </c>
    </row>
    <row r="94" spans="1:4">
      <c r="A94" s="72" t="s">
        <v>45</v>
      </c>
      <c r="B94" t="s">
        <v>133</v>
      </c>
      <c r="C94" s="90">
        <f>((5/30)/12)</f>
        <v>0.0138888888888889</v>
      </c>
      <c r="D94" s="94">
        <f>TRUNC(($D$88*C94),2)</f>
        <v>53.01</v>
      </c>
    </row>
    <row r="95" spans="1:4">
      <c r="A95" s="72" t="s">
        <v>48</v>
      </c>
      <c r="B95" t="s">
        <v>134</v>
      </c>
      <c r="C95" s="90">
        <f>((5/30)/12)*0.02</f>
        <v>0.000277777777777778</v>
      </c>
      <c r="D95" s="94">
        <f>TRUNC(($D$88*C95),2)</f>
        <v>1.06</v>
      </c>
    </row>
    <row r="96" ht="30" spans="1:4">
      <c r="A96" s="92" t="s">
        <v>50</v>
      </c>
      <c r="B96" s="97" t="s">
        <v>135</v>
      </c>
      <c r="C96" s="98">
        <f>((15/30)/12)*0.08</f>
        <v>0.00333333333333333</v>
      </c>
      <c r="D96" s="94">
        <f>TRUNC(($D$88*C96),2)</f>
        <v>12.72</v>
      </c>
    </row>
    <row r="97" spans="1:4">
      <c r="A97" s="72" t="s">
        <v>53</v>
      </c>
      <c r="B97" t="s">
        <v>136</v>
      </c>
      <c r="C97" s="90">
        <f>((1+1/3)/12)*0.03*((4/12))</f>
        <v>0.00111111111111111</v>
      </c>
      <c r="D97" s="94">
        <f>TRUNC(($D$88*C97),2)</f>
        <v>4.24</v>
      </c>
    </row>
    <row r="98" ht="30" spans="1:4">
      <c r="A98" s="72" t="s">
        <v>55</v>
      </c>
      <c r="B98" s="97" t="s">
        <v>214</v>
      </c>
      <c r="C98" s="103">
        <v>0</v>
      </c>
      <c r="D98" s="94">
        <f>TRUNC($D$88*C98)</f>
        <v>0</v>
      </c>
    </row>
    <row r="99" spans="1:4">
      <c r="A99" s="72" t="s">
        <v>58</v>
      </c>
      <c r="C99" s="96">
        <f>SUM(C93:C98)</f>
        <v>0.0348148148148148</v>
      </c>
      <c r="D99" s="80">
        <f>TRUNC((SUM(D93:D98)),2)</f>
        <v>132.88</v>
      </c>
    </row>
    <row r="100" spans="1:4">
      <c r="A100" s="72"/>
      <c r="C100" s="72"/>
      <c r="D100" s="80"/>
    </row>
    <row r="101" spans="1:4">
      <c r="A101" s="71" t="s">
        <v>144</v>
      </c>
      <c r="B101" s="71"/>
      <c r="C101" s="71"/>
      <c r="D101" s="71"/>
    </row>
    <row r="102" spans="1:4">
      <c r="A102" s="72" t="s">
        <v>145</v>
      </c>
      <c r="B102" s="77" t="s">
        <v>146</v>
      </c>
      <c r="C102" s="72" t="s">
        <v>18</v>
      </c>
      <c r="D102" s="72" t="s">
        <v>19</v>
      </c>
    </row>
    <row r="103" ht="105" spans="1:4">
      <c r="A103" s="92" t="s">
        <v>42</v>
      </c>
      <c r="B103" s="104" t="s">
        <v>147</v>
      </c>
      <c r="C103" s="105" t="s">
        <v>215</v>
      </c>
      <c r="D103" s="106" t="s">
        <v>216</v>
      </c>
    </row>
    <row r="104" spans="1:4">
      <c r="A104" s="72" t="s">
        <v>58</v>
      </c>
      <c r="C104" s="107"/>
      <c r="D104" s="108" t="str">
        <f>D103</f>
        <v>*=TRUNCAR(($D$86/220)*(1*(365/12))/2)</v>
      </c>
    </row>
    <row r="106" spans="1:4">
      <c r="A106" s="71" t="s">
        <v>148</v>
      </c>
      <c r="B106" s="71"/>
      <c r="C106" s="71"/>
      <c r="D106" s="71"/>
    </row>
    <row r="107" spans="1:4">
      <c r="A107" s="72" t="s">
        <v>149</v>
      </c>
      <c r="B107" s="77" t="s">
        <v>150</v>
      </c>
      <c r="C107" s="72" t="s">
        <v>18</v>
      </c>
      <c r="D107" s="72" t="s">
        <v>19</v>
      </c>
    </row>
    <row r="108" spans="1:4">
      <c r="A108" s="72" t="s">
        <v>129</v>
      </c>
      <c r="B108" t="s">
        <v>130</v>
      </c>
      <c r="D108" s="74">
        <f>D99</f>
        <v>132.88</v>
      </c>
    </row>
    <row r="109" spans="1:4">
      <c r="A109" s="72" t="s">
        <v>145</v>
      </c>
      <c r="B109" t="s">
        <v>151</v>
      </c>
      <c r="C109" s="77"/>
      <c r="D109" s="109" t="str">
        <f>Submódulo4.260_55107[[#Totals],[Valor]]</f>
        <v>*=TRUNCAR(($D$86/220)*(1*(365/12))/2)</v>
      </c>
    </row>
    <row r="110" ht="75" spans="1:4">
      <c r="A110" s="92" t="s">
        <v>58</v>
      </c>
      <c r="B110" s="93"/>
      <c r="C110" s="105" t="s">
        <v>217</v>
      </c>
      <c r="D110" s="110">
        <f>TRUNC((SUM(D108:D109)),2)</f>
        <v>132.88</v>
      </c>
    </row>
    <row r="112" ht="37" customHeight="1" spans="1:4">
      <c r="A112" s="55" t="s">
        <v>152</v>
      </c>
      <c r="B112" s="55"/>
      <c r="C112" s="55"/>
      <c r="D112" s="55"/>
    </row>
    <row r="113" spans="1:4">
      <c r="A113" s="92" t="s">
        <v>153</v>
      </c>
      <c r="B113" s="93" t="s">
        <v>154</v>
      </c>
      <c r="C113" s="92" t="s">
        <v>18</v>
      </c>
      <c r="D113" s="92" t="s">
        <v>19</v>
      </c>
    </row>
    <row r="114" spans="1:4">
      <c r="A114" s="72" t="s">
        <v>42</v>
      </c>
      <c r="B114" t="s">
        <v>218</v>
      </c>
      <c r="D114" s="111">
        <f>Uniformes!G13</f>
        <v>127.02</v>
      </c>
    </row>
    <row r="115" spans="1:4">
      <c r="A115" s="72" t="s">
        <v>45</v>
      </c>
      <c r="B115" t="s">
        <v>219</v>
      </c>
      <c r="D115" s="111">
        <v>0</v>
      </c>
    </row>
    <row r="116" spans="1:4">
      <c r="A116" s="72" t="s">
        <v>48</v>
      </c>
      <c r="B116" t="s">
        <v>156</v>
      </c>
      <c r="D116" s="111">
        <f>Materiais!F13</f>
        <v>56.5</v>
      </c>
    </row>
    <row r="117" spans="1:4">
      <c r="A117" s="72" t="s">
        <v>50</v>
      </c>
      <c r="B117" t="s">
        <v>157</v>
      </c>
      <c r="D117" s="111">
        <f>Equipamentos!F10</f>
        <v>46.98</v>
      </c>
    </row>
    <row r="118" spans="1:4">
      <c r="A118" s="72" t="s">
        <v>53</v>
      </c>
      <c r="B118" t="s">
        <v>220</v>
      </c>
      <c r="C118" s="72"/>
      <c r="D118" s="112">
        <v>0</v>
      </c>
    </row>
    <row r="119" spans="1:4">
      <c r="A119" s="72" t="s">
        <v>58</v>
      </c>
      <c r="D119" s="113">
        <f>TRUNC(SUM(D114:D118),2)</f>
        <v>230.5</v>
      </c>
    </row>
    <row r="120" ht="15.75"/>
    <row r="121" ht="16.5" spans="1:4">
      <c r="A121" s="84" t="s">
        <v>221</v>
      </c>
      <c r="B121" s="84"/>
      <c r="C121" s="85" t="s">
        <v>201</v>
      </c>
      <c r="D121" s="86">
        <f>D31</f>
        <v>1935.47</v>
      </c>
    </row>
    <row r="122" ht="16.5" spans="1:4">
      <c r="A122" s="84"/>
      <c r="B122" s="84"/>
      <c r="C122" s="87" t="s">
        <v>211</v>
      </c>
      <c r="D122" s="86">
        <f>D73</f>
        <v>1764.88</v>
      </c>
    </row>
    <row r="123" ht="16.5" spans="1:4">
      <c r="A123" s="84"/>
      <c r="B123" s="84"/>
      <c r="C123" s="85" t="s">
        <v>212</v>
      </c>
      <c r="D123" s="86">
        <f>D83</f>
        <v>116.94</v>
      </c>
    </row>
    <row r="124" ht="16.5" spans="1:4">
      <c r="A124" s="84"/>
      <c r="B124" s="84"/>
      <c r="C124" s="87" t="s">
        <v>222</v>
      </c>
      <c r="D124" s="86">
        <f>D110</f>
        <v>132.88</v>
      </c>
    </row>
    <row r="125" ht="16.5" spans="1:4">
      <c r="A125" s="84"/>
      <c r="B125" s="84"/>
      <c r="C125" s="85" t="s">
        <v>223</v>
      </c>
      <c r="D125" s="86">
        <f>D119</f>
        <v>230.5</v>
      </c>
    </row>
    <row r="126" ht="16.5" spans="1:4">
      <c r="A126" s="84"/>
      <c r="B126" s="84"/>
      <c r="C126" s="87" t="s">
        <v>203</v>
      </c>
      <c r="D126" s="88">
        <f>TRUNC((SUM(D121:D125)),2)</f>
        <v>4180.67</v>
      </c>
    </row>
    <row r="127" ht="15.75"/>
    <row r="128" ht="15.75" spans="1:7">
      <c r="A128" s="55" t="s">
        <v>164</v>
      </c>
      <c r="B128" s="55"/>
      <c r="C128" s="55"/>
      <c r="D128" s="55"/>
      <c r="F128" s="114" t="s">
        <v>224</v>
      </c>
      <c r="G128" s="114"/>
    </row>
    <row r="129" ht="15.75" spans="1:7">
      <c r="A129" s="72" t="s">
        <v>165</v>
      </c>
      <c r="B129" t="s">
        <v>166</v>
      </c>
      <c r="C129" s="72" t="s">
        <v>38</v>
      </c>
      <c r="D129" s="72" t="s">
        <v>19</v>
      </c>
      <c r="F129" s="115" t="s">
        <v>225</v>
      </c>
      <c r="G129" s="98">
        <f>C132</f>
        <v>0.0865</v>
      </c>
    </row>
    <row r="130" ht="15.75" spans="1:7">
      <c r="A130" s="72" t="s">
        <v>42</v>
      </c>
      <c r="B130" t="s">
        <v>167</v>
      </c>
      <c r="C130" s="116">
        <v>0.05</v>
      </c>
      <c r="D130" s="111">
        <f>TRUNC(($D$126*C130),2)</f>
        <v>209.03</v>
      </c>
      <c r="F130" s="117" t="s">
        <v>226</v>
      </c>
      <c r="G130" s="118">
        <f>TRUNC(SUM(D126,D130,D131),2)</f>
        <v>4653.08</v>
      </c>
    </row>
    <row r="131" ht="15.75" spans="1:7">
      <c r="A131" s="72" t="s">
        <v>45</v>
      </c>
      <c r="B131" t="s">
        <v>59</v>
      </c>
      <c r="C131" s="116">
        <v>0.06</v>
      </c>
      <c r="D131" s="111">
        <f>TRUNC((C131*(D126+D130)),2)</f>
        <v>263.38</v>
      </c>
      <c r="F131" s="115" t="s">
        <v>227</v>
      </c>
      <c r="G131" s="119">
        <f>(100-8.65)/100</f>
        <v>0.9135</v>
      </c>
    </row>
    <row r="132" ht="15.75" spans="1:7">
      <c r="A132" s="72" t="s">
        <v>48</v>
      </c>
      <c r="B132" t="s">
        <v>168</v>
      </c>
      <c r="C132" s="90">
        <f>SUM(C133:C135)</f>
        <v>0.0865</v>
      </c>
      <c r="D132" s="74">
        <f>TRUNC(SUM(D133:D135),2)</f>
        <v>440.59</v>
      </c>
      <c r="F132" s="117" t="s">
        <v>224</v>
      </c>
      <c r="G132" s="118">
        <f>TRUNC((G130/G131),2)</f>
        <v>5093.68</v>
      </c>
    </row>
    <row r="133" ht="15.75" spans="1:4">
      <c r="A133" s="72"/>
      <c r="B133" t="s">
        <v>228</v>
      </c>
      <c r="C133" s="90">
        <v>0.0065</v>
      </c>
      <c r="D133" s="74">
        <f>TRUNC(($G$132*C133),2)</f>
        <v>33.1</v>
      </c>
    </row>
    <row r="134" spans="1:4">
      <c r="A134" s="72"/>
      <c r="B134" t="s">
        <v>229</v>
      </c>
      <c r="C134" s="90">
        <v>0.03</v>
      </c>
      <c r="D134" s="74">
        <f>TRUNC(($G$132*C134),2)</f>
        <v>152.81</v>
      </c>
    </row>
    <row r="135" spans="1:4">
      <c r="A135" s="72"/>
      <c r="B135" t="s">
        <v>230</v>
      </c>
      <c r="C135" s="90">
        <v>0.05</v>
      </c>
      <c r="D135" s="74">
        <f>TRUNC(($G$132*C135),2)</f>
        <v>254.68</v>
      </c>
    </row>
    <row r="136" spans="1:4">
      <c r="A136" s="72" t="s">
        <v>58</v>
      </c>
      <c r="B136" s="120"/>
      <c r="C136" s="29"/>
      <c r="D136" s="80">
        <f>TRUNC(SUM(D130:D132),2)</f>
        <v>913</v>
      </c>
    </row>
    <row r="137" spans="1:4">
      <c r="A137" s="72"/>
      <c r="C137" s="29"/>
      <c r="D137" s="80"/>
    </row>
    <row r="139" spans="1:4">
      <c r="A139" s="55" t="s">
        <v>172</v>
      </c>
      <c r="B139" s="55"/>
      <c r="C139" s="55"/>
      <c r="D139" s="55"/>
    </row>
    <row r="140" spans="1:4">
      <c r="A140" s="72" t="s">
        <v>16</v>
      </c>
      <c r="B140" s="72" t="s">
        <v>173</v>
      </c>
      <c r="C140" s="72" t="s">
        <v>102</v>
      </c>
      <c r="D140" s="72" t="s">
        <v>19</v>
      </c>
    </row>
    <row r="141" spans="1:4">
      <c r="A141" s="72" t="s">
        <v>42</v>
      </c>
      <c r="B141" t="s">
        <v>36</v>
      </c>
      <c r="D141" s="80">
        <f>D31</f>
        <v>1935.47</v>
      </c>
    </row>
    <row r="142" spans="1:4">
      <c r="A142" s="72" t="s">
        <v>45</v>
      </c>
      <c r="B142" t="s">
        <v>61</v>
      </c>
      <c r="D142" s="80">
        <f>D73</f>
        <v>1764.88</v>
      </c>
    </row>
    <row r="143" spans="1:4">
      <c r="A143" s="72" t="s">
        <v>48</v>
      </c>
      <c r="B143" t="s">
        <v>108</v>
      </c>
      <c r="D143" s="80">
        <f>D83</f>
        <v>116.94</v>
      </c>
    </row>
    <row r="144" spans="1:4">
      <c r="A144" s="72" t="s">
        <v>50</v>
      </c>
      <c r="B144" t="s">
        <v>174</v>
      </c>
      <c r="D144" s="80">
        <f>D110</f>
        <v>132.88</v>
      </c>
    </row>
    <row r="145" spans="1:4">
      <c r="A145" s="72" t="s">
        <v>53</v>
      </c>
      <c r="B145" t="s">
        <v>152</v>
      </c>
      <c r="D145" s="80">
        <f>D119</f>
        <v>230.5</v>
      </c>
    </row>
    <row r="146" spans="2:4">
      <c r="B146" s="121" t="s">
        <v>231</v>
      </c>
      <c r="D146" s="80">
        <f>TRUNC(SUM(D141:D145),2)</f>
        <v>4180.67</v>
      </c>
    </row>
    <row r="147" spans="1:4">
      <c r="A147" s="72" t="s">
        <v>55</v>
      </c>
      <c r="B147" t="s">
        <v>164</v>
      </c>
      <c r="D147" s="80">
        <f>D136</f>
        <v>913</v>
      </c>
    </row>
    <row r="148" spans="1:4">
      <c r="A148" s="122"/>
      <c r="B148" s="123" t="s">
        <v>232</v>
      </c>
      <c r="C148" s="122"/>
      <c r="D148" s="124">
        <f>TRUNC((SUM(D141:D145)+D147),2)</f>
        <v>5093.67</v>
      </c>
    </row>
    <row r="149" spans="1:4">
      <c r="A149" s="125"/>
      <c r="B149" s="126" t="s">
        <v>233</v>
      </c>
      <c r="C149" s="125"/>
      <c r="D149" s="127">
        <f>TRUNC((D148*2),2)</f>
        <v>10187.34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zoomScale="90" zoomScaleNormal="90" topLeftCell="A6" workbookViewId="0">
      <selection activeCell="L12" sqref="L12"/>
    </sheetView>
  </sheetViews>
  <sheetFormatPr defaultColWidth="9.14285714285714" defaultRowHeight="15" outlineLevelCol="7"/>
  <cols>
    <col min="2" max="2" width="23.3333333333333" style="30" customWidth="1"/>
    <col min="3" max="3" width="37.2952380952381" customWidth="1"/>
    <col min="4" max="4" width="13.4571428571429" style="1" customWidth="1"/>
    <col min="5" max="5" width="13.0095238095238" customWidth="1"/>
    <col min="6" max="6" width="14.5619047619048" customWidth="1"/>
    <col min="7" max="7" width="14.6" customWidth="1"/>
    <col min="8" max="8" width="15.2380952380952" customWidth="1"/>
  </cols>
  <sheetData>
    <row r="1" spans="1:8">
      <c r="A1" s="31" t="s">
        <v>234</v>
      </c>
      <c r="B1" s="32"/>
      <c r="C1" s="31"/>
      <c r="D1" s="33"/>
      <c r="E1" s="31"/>
      <c r="F1" s="31"/>
      <c r="G1" s="31"/>
      <c r="H1" s="31"/>
    </row>
    <row r="2" spans="1:8">
      <c r="A2" s="34" t="s">
        <v>235</v>
      </c>
      <c r="B2" s="35"/>
      <c r="C2" s="34"/>
      <c r="D2" s="36"/>
      <c r="E2" s="34"/>
      <c r="F2" s="34"/>
      <c r="G2" s="34"/>
      <c r="H2" s="34"/>
    </row>
    <row r="3" ht="60" spans="1:8">
      <c r="A3" s="37" t="s">
        <v>236</v>
      </c>
      <c r="B3" s="37" t="s">
        <v>237</v>
      </c>
      <c r="C3" s="37" t="s">
        <v>238</v>
      </c>
      <c r="D3" s="37" t="s">
        <v>239</v>
      </c>
      <c r="E3" s="37" t="s">
        <v>240</v>
      </c>
      <c r="F3" s="37" t="s">
        <v>241</v>
      </c>
      <c r="G3" s="37" t="s">
        <v>242</v>
      </c>
      <c r="H3" s="37" t="s">
        <v>243</v>
      </c>
    </row>
    <row r="4" ht="75" spans="1:8">
      <c r="A4" s="38">
        <v>1</v>
      </c>
      <c r="B4" s="39" t="s">
        <v>244</v>
      </c>
      <c r="C4" s="40" t="s">
        <v>245</v>
      </c>
      <c r="D4" s="39" t="s">
        <v>246</v>
      </c>
      <c r="E4" s="41">
        <v>57.99</v>
      </c>
      <c r="F4" s="39">
        <v>4</v>
      </c>
      <c r="G4" s="42">
        <f>TRUNC((F4*E4),2)</f>
        <v>231.96</v>
      </c>
      <c r="H4" s="42">
        <f t="shared" ref="H4:H12" si="0">TRUNC((G4/12),2)</f>
        <v>19.33</v>
      </c>
    </row>
    <row r="5" ht="105" spans="1:8">
      <c r="A5" s="38">
        <v>2</v>
      </c>
      <c r="B5" s="39" t="s">
        <v>247</v>
      </c>
      <c r="C5" s="40" t="s">
        <v>248</v>
      </c>
      <c r="D5" s="39" t="s">
        <v>246</v>
      </c>
      <c r="E5" s="41">
        <v>28.13</v>
      </c>
      <c r="F5" s="39">
        <v>4</v>
      </c>
      <c r="G5" s="42">
        <f t="shared" ref="G5:G12" si="1">TRUNC((F5*E5),2)</f>
        <v>112.52</v>
      </c>
      <c r="H5" s="42">
        <f t="shared" si="0"/>
        <v>9.37</v>
      </c>
    </row>
    <row r="6" ht="60" spans="1:8">
      <c r="A6" s="38">
        <v>3</v>
      </c>
      <c r="B6" s="39" t="s">
        <v>249</v>
      </c>
      <c r="C6" s="40" t="s">
        <v>250</v>
      </c>
      <c r="D6" s="39" t="s">
        <v>246</v>
      </c>
      <c r="E6" s="41">
        <v>44.83</v>
      </c>
      <c r="F6" s="39">
        <v>4</v>
      </c>
      <c r="G6" s="42">
        <f t="shared" si="1"/>
        <v>179.32</v>
      </c>
      <c r="H6" s="42">
        <f t="shared" si="0"/>
        <v>14.94</v>
      </c>
    </row>
    <row r="7" ht="90" spans="1:8">
      <c r="A7" s="38">
        <v>4</v>
      </c>
      <c r="B7" s="39" t="s">
        <v>251</v>
      </c>
      <c r="C7" s="40" t="s">
        <v>252</v>
      </c>
      <c r="D7" s="39" t="s">
        <v>246</v>
      </c>
      <c r="E7" s="41">
        <v>169.5</v>
      </c>
      <c r="F7" s="39">
        <v>2</v>
      </c>
      <c r="G7" s="42">
        <f t="shared" si="1"/>
        <v>339</v>
      </c>
      <c r="H7" s="42">
        <f t="shared" si="0"/>
        <v>28.25</v>
      </c>
    </row>
    <row r="8" ht="45" spans="1:8">
      <c r="A8" s="38">
        <v>5</v>
      </c>
      <c r="B8" s="39" t="s">
        <v>253</v>
      </c>
      <c r="C8" s="40" t="s">
        <v>254</v>
      </c>
      <c r="D8" s="39" t="s">
        <v>255</v>
      </c>
      <c r="E8" s="41">
        <v>14</v>
      </c>
      <c r="F8" s="39">
        <v>4</v>
      </c>
      <c r="G8" s="42">
        <f t="shared" si="1"/>
        <v>56</v>
      </c>
      <c r="H8" s="42">
        <f t="shared" si="0"/>
        <v>4.66</v>
      </c>
    </row>
    <row r="9" ht="60" spans="1:8">
      <c r="A9" s="38">
        <v>6</v>
      </c>
      <c r="B9" s="39" t="s">
        <v>256</v>
      </c>
      <c r="C9" s="40" t="s">
        <v>257</v>
      </c>
      <c r="D9" s="39" t="s">
        <v>246</v>
      </c>
      <c r="E9" s="41">
        <v>59.89</v>
      </c>
      <c r="F9" s="39">
        <v>2</v>
      </c>
      <c r="G9" s="42">
        <f t="shared" si="1"/>
        <v>119.78</v>
      </c>
      <c r="H9" s="42">
        <f t="shared" si="0"/>
        <v>9.98</v>
      </c>
    </row>
    <row r="10" ht="75" spans="1:8">
      <c r="A10" s="38">
        <v>7</v>
      </c>
      <c r="B10" s="39" t="s">
        <v>258</v>
      </c>
      <c r="C10" s="40" t="s">
        <v>259</v>
      </c>
      <c r="D10" s="39" t="s">
        <v>246</v>
      </c>
      <c r="E10" s="41">
        <v>100</v>
      </c>
      <c r="F10" s="39">
        <v>2</v>
      </c>
      <c r="G10" s="42">
        <f t="shared" si="1"/>
        <v>200</v>
      </c>
      <c r="H10" s="42">
        <f t="shared" si="0"/>
        <v>16.66</v>
      </c>
    </row>
    <row r="11" ht="30" spans="1:8">
      <c r="A11" s="38">
        <v>8</v>
      </c>
      <c r="B11" s="39" t="s">
        <v>260</v>
      </c>
      <c r="C11" s="40" t="s">
        <v>261</v>
      </c>
      <c r="D11" s="39" t="s">
        <v>246</v>
      </c>
      <c r="E11" s="41">
        <v>137</v>
      </c>
      <c r="F11" s="39">
        <v>2</v>
      </c>
      <c r="G11" s="42">
        <f t="shared" si="1"/>
        <v>274</v>
      </c>
      <c r="H11" s="42">
        <f t="shared" si="0"/>
        <v>22.83</v>
      </c>
    </row>
    <row r="12" ht="60" spans="1:8">
      <c r="A12" s="38">
        <v>9</v>
      </c>
      <c r="B12" s="39" t="s">
        <v>262</v>
      </c>
      <c r="C12" s="40" t="s">
        <v>263</v>
      </c>
      <c r="D12" s="39" t="s">
        <v>246</v>
      </c>
      <c r="E12" s="41">
        <v>12</v>
      </c>
      <c r="F12" s="39">
        <v>1</v>
      </c>
      <c r="G12" s="42">
        <f t="shared" si="1"/>
        <v>12</v>
      </c>
      <c r="H12" s="42">
        <f t="shared" si="0"/>
        <v>1</v>
      </c>
    </row>
    <row r="13" spans="1:8">
      <c r="A13" s="43" t="s">
        <v>203</v>
      </c>
      <c r="B13" s="43"/>
      <c r="C13" s="43"/>
      <c r="D13" s="43"/>
      <c r="E13" s="43"/>
      <c r="F13" s="43"/>
      <c r="G13" s="44">
        <f>TRUNC(SUM(H4:H12),2)</f>
        <v>127.02</v>
      </c>
      <c r="H13" s="44"/>
    </row>
    <row r="14" spans="1:8">
      <c r="A14" s="45"/>
      <c r="B14" s="46"/>
      <c r="C14" s="45"/>
      <c r="D14" s="47"/>
      <c r="E14" s="45"/>
      <c r="F14" s="45"/>
      <c r="G14" s="45"/>
      <c r="H14" s="45"/>
    </row>
    <row r="15" spans="1:8">
      <c r="A15" s="45"/>
      <c r="B15" s="46"/>
      <c r="C15" s="45"/>
      <c r="D15" s="47"/>
      <c r="E15" s="45"/>
      <c r="F15" s="45"/>
      <c r="G15" s="45"/>
      <c r="H15" s="45"/>
    </row>
    <row r="16" spans="1:8">
      <c r="A16" s="45"/>
      <c r="B16" s="46"/>
      <c r="C16" s="45"/>
      <c r="D16" s="47"/>
      <c r="E16" s="45"/>
      <c r="F16" s="45"/>
      <c r="G16" s="45"/>
      <c r="H16" s="45"/>
    </row>
  </sheetData>
  <mergeCells count="4">
    <mergeCell ref="A1:H1"/>
    <mergeCell ref="A2:H2"/>
    <mergeCell ref="A13:F13"/>
    <mergeCell ref="G13:H13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topLeftCell="A9" workbookViewId="0">
      <selection activeCell="A13" sqref="A13:E13"/>
    </sheetView>
  </sheetViews>
  <sheetFormatPr defaultColWidth="8.88571428571429" defaultRowHeight="15" outlineLevelCol="6"/>
  <cols>
    <col min="2" max="2" width="24.1142857142857" customWidth="1"/>
    <col min="3" max="3" width="33.6666666666667" customWidth="1"/>
    <col min="4" max="5" width="16.7809523809524" customWidth="1"/>
    <col min="6" max="7" width="12.552380952381" customWidth="1"/>
  </cols>
  <sheetData>
    <row r="1" spans="1:7">
      <c r="A1" s="14" t="s">
        <v>264</v>
      </c>
      <c r="B1" s="14"/>
      <c r="C1" s="14"/>
      <c r="D1" s="14"/>
      <c r="E1" s="14"/>
      <c r="F1" s="14"/>
      <c r="G1" s="14"/>
    </row>
    <row r="2" ht="9" customHeight="1" spans="1:7">
      <c r="A2" s="15"/>
      <c r="B2" s="15"/>
      <c r="C2" s="15"/>
      <c r="D2" s="15"/>
      <c r="E2" s="15"/>
      <c r="F2" s="15"/>
      <c r="G2" s="15"/>
    </row>
    <row r="3" ht="60" spans="1:7">
      <c r="A3" s="16" t="s">
        <v>236</v>
      </c>
      <c r="B3" s="16" t="s">
        <v>265</v>
      </c>
      <c r="C3" s="16" t="s">
        <v>238</v>
      </c>
      <c r="D3" s="16" t="s">
        <v>239</v>
      </c>
      <c r="E3" s="16" t="s">
        <v>266</v>
      </c>
      <c r="F3" s="16" t="s">
        <v>267</v>
      </c>
      <c r="G3" s="16" t="s">
        <v>268</v>
      </c>
    </row>
    <row r="4" ht="45" spans="1:7">
      <c r="A4" s="17">
        <v>1</v>
      </c>
      <c r="B4" s="18" t="s">
        <v>269</v>
      </c>
      <c r="C4" s="19" t="s">
        <v>270</v>
      </c>
      <c r="D4" s="18" t="s">
        <v>246</v>
      </c>
      <c r="E4" s="18">
        <v>2</v>
      </c>
      <c r="F4" s="20">
        <v>21.92</v>
      </c>
      <c r="G4" s="21">
        <f>TRUNC((F4*E4),2)</f>
        <v>43.84</v>
      </c>
    </row>
    <row r="5" ht="75" spans="1:7">
      <c r="A5" s="17">
        <v>2</v>
      </c>
      <c r="B5" s="18" t="s">
        <v>271</v>
      </c>
      <c r="C5" s="19" t="s">
        <v>272</v>
      </c>
      <c r="D5" s="18" t="s">
        <v>246</v>
      </c>
      <c r="E5" s="18">
        <v>12</v>
      </c>
      <c r="F5" s="20">
        <v>1.77</v>
      </c>
      <c r="G5" s="21">
        <f t="shared" ref="G5:G12" si="0">TRUNC((F5*E5),2)</f>
        <v>21.24</v>
      </c>
    </row>
    <row r="6" ht="45" spans="1:7">
      <c r="A6" s="17">
        <v>3</v>
      </c>
      <c r="B6" s="5" t="s">
        <v>273</v>
      </c>
      <c r="C6" s="19" t="s">
        <v>274</v>
      </c>
      <c r="D6" s="5" t="s">
        <v>246</v>
      </c>
      <c r="E6" s="5">
        <v>2</v>
      </c>
      <c r="F6" s="20">
        <v>12.79</v>
      </c>
      <c r="G6" s="21">
        <f t="shared" si="0"/>
        <v>25.58</v>
      </c>
    </row>
    <row r="7" ht="330" spans="1:7">
      <c r="A7" s="17">
        <v>4</v>
      </c>
      <c r="B7" s="5" t="s">
        <v>275</v>
      </c>
      <c r="C7" s="19" t="s">
        <v>276</v>
      </c>
      <c r="D7" s="5" t="s">
        <v>246</v>
      </c>
      <c r="E7" s="5">
        <v>1</v>
      </c>
      <c r="F7" s="20">
        <v>216.39</v>
      </c>
      <c r="G7" s="21">
        <f t="shared" si="0"/>
        <v>216.39</v>
      </c>
    </row>
    <row r="8" ht="75" spans="1:7">
      <c r="A8" s="17">
        <v>5</v>
      </c>
      <c r="B8" s="5" t="s">
        <v>277</v>
      </c>
      <c r="C8" s="19" t="s">
        <v>278</v>
      </c>
      <c r="D8" s="5" t="s">
        <v>246</v>
      </c>
      <c r="E8" s="5">
        <v>1</v>
      </c>
      <c r="F8" s="20">
        <v>61.8</v>
      </c>
      <c r="G8" s="21">
        <f t="shared" si="0"/>
        <v>61.8</v>
      </c>
    </row>
    <row r="9" ht="180" spans="1:7">
      <c r="A9" s="17">
        <v>6</v>
      </c>
      <c r="B9" s="5" t="s">
        <v>279</v>
      </c>
      <c r="C9" s="19" t="s">
        <v>280</v>
      </c>
      <c r="D9" s="5" t="s">
        <v>246</v>
      </c>
      <c r="E9" s="5">
        <v>1</v>
      </c>
      <c r="F9" s="20">
        <v>182.9</v>
      </c>
      <c r="G9" s="21">
        <f t="shared" si="0"/>
        <v>182.9</v>
      </c>
    </row>
    <row r="10" ht="135" spans="1:7">
      <c r="A10" s="17">
        <v>7</v>
      </c>
      <c r="B10" s="5" t="s">
        <v>281</v>
      </c>
      <c r="C10" s="19" t="s">
        <v>282</v>
      </c>
      <c r="D10" s="5" t="s">
        <v>246</v>
      </c>
      <c r="E10" s="5">
        <v>2</v>
      </c>
      <c r="F10" s="20">
        <v>69.93</v>
      </c>
      <c r="G10" s="21">
        <f t="shared" si="0"/>
        <v>139.86</v>
      </c>
    </row>
    <row r="11" ht="60" spans="1:7">
      <c r="A11" s="17">
        <v>8</v>
      </c>
      <c r="B11" s="5" t="s">
        <v>283</v>
      </c>
      <c r="C11" s="19" t="s">
        <v>284</v>
      </c>
      <c r="D11" s="5" t="s">
        <v>246</v>
      </c>
      <c r="E11" s="5">
        <v>2</v>
      </c>
      <c r="F11" s="20">
        <v>120.23</v>
      </c>
      <c r="G11" s="21">
        <f t="shared" si="0"/>
        <v>240.46</v>
      </c>
    </row>
    <row r="12" ht="30" spans="1:7">
      <c r="A12" s="17">
        <v>9</v>
      </c>
      <c r="B12" s="5" t="s">
        <v>285</v>
      </c>
      <c r="C12" s="19" t="s">
        <v>286</v>
      </c>
      <c r="D12" s="5" t="s">
        <v>246</v>
      </c>
      <c r="E12" s="5">
        <v>2</v>
      </c>
      <c r="F12" s="20">
        <v>212.07</v>
      </c>
      <c r="G12" s="21">
        <f t="shared" si="0"/>
        <v>424.14</v>
      </c>
    </row>
    <row r="13" spans="1:7">
      <c r="A13" s="22" t="s">
        <v>287</v>
      </c>
      <c r="B13" s="22"/>
      <c r="C13" s="22"/>
      <c r="D13" s="22"/>
      <c r="E13" s="22"/>
      <c r="F13" s="23">
        <f>TRUNC(((SUM(G4:G12)/2)/12),2)</f>
        <v>56.5</v>
      </c>
      <c r="G13" s="24"/>
    </row>
    <row r="14" spans="1:7">
      <c r="A14" s="5"/>
      <c r="B14" s="5"/>
      <c r="C14" s="5"/>
      <c r="D14" s="5"/>
      <c r="E14" s="5"/>
      <c r="F14" s="5"/>
      <c r="G14" s="5"/>
    </row>
  </sheetData>
  <mergeCells count="4">
    <mergeCell ref="A1:G1"/>
    <mergeCell ref="A2:G2"/>
    <mergeCell ref="A13:E13"/>
    <mergeCell ref="F13:G13"/>
  </mergeCells>
  <pageMargins left="0.75" right="0.75" top="1" bottom="1" header="0.5" footer="0.5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topLeftCell="A4" workbookViewId="0">
      <selection activeCell="L10" sqref="L10"/>
    </sheetView>
  </sheetViews>
  <sheetFormatPr defaultColWidth="8.88571428571429" defaultRowHeight="15" outlineLevelCol="6"/>
  <cols>
    <col min="2" max="2" width="27.3333333333333" customWidth="1"/>
    <col min="3" max="3" width="27.552380952381" customWidth="1"/>
    <col min="4" max="4" width="11.552380952381" customWidth="1"/>
    <col min="5" max="5" width="13.447619047619" customWidth="1"/>
    <col min="6" max="6" width="11.7809523809524" customWidth="1"/>
    <col min="7" max="7" width="12.3333333333333" customWidth="1"/>
  </cols>
  <sheetData>
    <row r="1" spans="1:7">
      <c r="A1" s="14" t="s">
        <v>288</v>
      </c>
      <c r="B1" s="14"/>
      <c r="C1" s="14"/>
      <c r="D1" s="14"/>
      <c r="E1" s="14"/>
      <c r="F1" s="14"/>
      <c r="G1" s="14"/>
    </row>
    <row r="2" ht="7" customHeight="1" spans="1:7">
      <c r="A2" s="15"/>
      <c r="B2" s="15"/>
      <c r="C2" s="15"/>
      <c r="D2" s="15"/>
      <c r="E2" s="15"/>
      <c r="F2" s="15"/>
      <c r="G2" s="15"/>
    </row>
    <row r="3" ht="60" spans="1:7">
      <c r="A3" s="16" t="s">
        <v>236</v>
      </c>
      <c r="B3" s="16" t="s">
        <v>265</v>
      </c>
      <c r="C3" s="16" t="s">
        <v>238</v>
      </c>
      <c r="D3" s="16" t="s">
        <v>239</v>
      </c>
      <c r="E3" s="16" t="s">
        <v>266</v>
      </c>
      <c r="F3" s="16" t="s">
        <v>267</v>
      </c>
      <c r="G3" s="16" t="s">
        <v>268</v>
      </c>
    </row>
    <row r="4" ht="195" spans="1:7">
      <c r="A4" s="17">
        <v>1</v>
      </c>
      <c r="B4" s="18" t="s">
        <v>289</v>
      </c>
      <c r="C4" s="19" t="s">
        <v>290</v>
      </c>
      <c r="D4" s="18" t="s">
        <v>246</v>
      </c>
      <c r="E4" s="18">
        <v>1</v>
      </c>
      <c r="F4" s="20">
        <v>701.41</v>
      </c>
      <c r="G4" s="21">
        <f>TRUNC((F4*E4),2)</f>
        <v>701.41</v>
      </c>
    </row>
    <row r="5" ht="30" spans="1:7">
      <c r="A5" s="17">
        <v>2</v>
      </c>
      <c r="B5" s="18" t="s">
        <v>291</v>
      </c>
      <c r="C5" s="19" t="s">
        <v>292</v>
      </c>
      <c r="D5" s="18" t="s">
        <v>246</v>
      </c>
      <c r="E5" s="18">
        <v>1</v>
      </c>
      <c r="F5" s="20">
        <v>902.92</v>
      </c>
      <c r="G5" s="21">
        <f>TRUNC((F5*E5),2)</f>
        <v>902.92</v>
      </c>
    </row>
    <row r="6" ht="225" spans="1:7">
      <c r="A6" s="17">
        <v>3</v>
      </c>
      <c r="B6" s="5" t="s">
        <v>293</v>
      </c>
      <c r="C6" s="19" t="s">
        <v>294</v>
      </c>
      <c r="D6" s="5" t="s">
        <v>246</v>
      </c>
      <c r="E6" s="5">
        <v>1</v>
      </c>
      <c r="F6" s="20">
        <v>5443.65</v>
      </c>
      <c r="G6" s="21">
        <f>TRUNC((F6*E6),2)</f>
        <v>5443.65</v>
      </c>
    </row>
    <row r="7" spans="1:7">
      <c r="A7" s="22" t="s">
        <v>203</v>
      </c>
      <c r="B7" s="22"/>
      <c r="C7" s="22"/>
      <c r="D7" s="22"/>
      <c r="E7" s="22"/>
      <c r="F7" s="23">
        <f>TRUNC(SUM(G4:G6),2)</f>
        <v>7047.98</v>
      </c>
      <c r="G7" s="24"/>
    </row>
    <row r="8" spans="1:7">
      <c r="A8" s="25" t="s">
        <v>295</v>
      </c>
      <c r="B8" s="25"/>
      <c r="C8" s="25"/>
      <c r="D8" s="25"/>
      <c r="E8" s="25"/>
      <c r="F8" s="26">
        <f>TRUNC((F7*0.5%),2)</f>
        <v>35.23</v>
      </c>
      <c r="G8" s="27"/>
    </row>
    <row r="9" spans="1:7">
      <c r="A9" s="25" t="s">
        <v>296</v>
      </c>
      <c r="B9" s="25"/>
      <c r="C9" s="25"/>
      <c r="D9" s="25"/>
      <c r="E9" s="25"/>
      <c r="F9" s="26">
        <f>TRUNC(((F7*(1-0.2))/(12*8)),2)</f>
        <v>58.73</v>
      </c>
      <c r="G9" s="27"/>
    </row>
    <row r="10" spans="1:7">
      <c r="A10" s="25" t="s">
        <v>297</v>
      </c>
      <c r="B10" s="25"/>
      <c r="C10" s="25"/>
      <c r="D10" s="25"/>
      <c r="E10" s="25"/>
      <c r="F10" s="26">
        <f>TRUNC((SUM(F8:G9)/2),2)</f>
        <v>46.98</v>
      </c>
      <c r="G10" s="27"/>
    </row>
    <row r="11" ht="173" customHeight="1" spans="1:7">
      <c r="A11" s="28" t="s">
        <v>298</v>
      </c>
      <c r="B11" s="29"/>
      <c r="C11" s="29"/>
      <c r="D11" s="29"/>
      <c r="E11" s="29"/>
      <c r="F11" s="29"/>
      <c r="G11" s="29"/>
    </row>
  </sheetData>
  <mergeCells count="11">
    <mergeCell ref="A1:G1"/>
    <mergeCell ref="A2:G2"/>
    <mergeCell ref="A7:E7"/>
    <mergeCell ref="F7:G7"/>
    <mergeCell ref="A8:E8"/>
    <mergeCell ref="F8:G8"/>
    <mergeCell ref="A9:E9"/>
    <mergeCell ref="F9:G9"/>
    <mergeCell ref="A10:E10"/>
    <mergeCell ref="F10:G10"/>
    <mergeCell ref="A11:G11"/>
  </mergeCells>
  <pageMargins left="0.75" right="0.75" top="1" bottom="1" header="0.5" footer="0.5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"/>
  <sheetViews>
    <sheetView workbookViewId="0">
      <selection activeCell="A5" sqref="A5"/>
    </sheetView>
  </sheetViews>
  <sheetFormatPr defaultColWidth="8.88571428571429" defaultRowHeight="15" outlineLevelRow="7" outlineLevelCol="6"/>
  <cols>
    <col min="1" max="1" width="8.88571428571429" style="1"/>
    <col min="2" max="2" width="31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</cols>
  <sheetData>
    <row r="1" ht="15.75" spans="1:7">
      <c r="A1" s="2" t="s">
        <v>299</v>
      </c>
      <c r="B1" s="3"/>
      <c r="C1" s="3"/>
      <c r="D1" s="3"/>
      <c r="E1" s="3"/>
      <c r="F1" s="3"/>
      <c r="G1" s="4"/>
    </row>
    <row r="2" ht="60.75" spans="1:7">
      <c r="A2" s="5" t="s">
        <v>16</v>
      </c>
      <c r="B2" s="5" t="s">
        <v>17</v>
      </c>
      <c r="C2" s="5" t="s">
        <v>246</v>
      </c>
      <c r="D2" s="5" t="s">
        <v>300</v>
      </c>
      <c r="E2" s="5" t="s">
        <v>301</v>
      </c>
      <c r="F2" s="5" t="s">
        <v>302</v>
      </c>
      <c r="G2" s="5" t="s">
        <v>303</v>
      </c>
    </row>
    <row r="3" ht="135" spans="1:7">
      <c r="A3" s="5">
        <v>19</v>
      </c>
      <c r="B3" s="6" t="s">
        <v>304</v>
      </c>
      <c r="C3" s="5" t="s">
        <v>305</v>
      </c>
      <c r="D3" s="5">
        <v>2</v>
      </c>
      <c r="E3" s="5">
        <v>12</v>
      </c>
      <c r="F3" s="7">
        <f>'Vigilância DIURNA'!D149</f>
        <v>8821.7</v>
      </c>
      <c r="G3" s="8">
        <f>(D3*F3)*(E3)</f>
        <v>211720.8</v>
      </c>
    </row>
    <row r="4" ht="135" spans="1:7">
      <c r="A4" s="9">
        <v>20</v>
      </c>
      <c r="B4" s="10" t="s">
        <v>306</v>
      </c>
      <c r="C4" s="5" t="s">
        <v>305</v>
      </c>
      <c r="D4" s="9">
        <v>2</v>
      </c>
      <c r="E4" s="9">
        <v>12</v>
      </c>
      <c r="F4" s="8">
        <f>'Vigilância NOTURNA'!D149</f>
        <v>10187.34</v>
      </c>
      <c r="G4" s="8">
        <f>(D4*F4)*(E4)</f>
        <v>244496.16</v>
      </c>
    </row>
    <row r="5" spans="1:7">
      <c r="A5" s="9" t="s">
        <v>203</v>
      </c>
      <c r="B5" s="11"/>
      <c r="C5" s="11"/>
      <c r="D5" s="11"/>
      <c r="E5" s="11"/>
      <c r="F5" s="11"/>
      <c r="G5" s="12">
        <f>SUM(G3:G4)</f>
        <v>456216.96</v>
      </c>
    </row>
    <row r="6" spans="1:7">
      <c r="A6" s="9"/>
      <c r="B6" s="13"/>
      <c r="C6" s="13"/>
      <c r="D6" s="13"/>
      <c r="E6" s="13"/>
      <c r="F6" s="13"/>
      <c r="G6" s="13"/>
    </row>
    <row r="7" spans="1:7">
      <c r="A7" s="9"/>
      <c r="B7" s="11"/>
      <c r="C7" s="11"/>
      <c r="D7" s="11"/>
      <c r="E7" s="11"/>
      <c r="F7" s="11"/>
      <c r="G7" s="11"/>
    </row>
    <row r="8" spans="1:7">
      <c r="A8" s="9"/>
      <c r="B8" s="11"/>
      <c r="C8" s="11"/>
      <c r="D8" s="11"/>
      <c r="E8" s="11"/>
      <c r="F8" s="11"/>
      <c r="G8" s="11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Orientações</vt:lpstr>
      <vt:lpstr>Servente</vt:lpstr>
      <vt:lpstr>Vigilância DIURNA</vt:lpstr>
      <vt:lpstr>Vigilância NOTURNA</vt:lpstr>
      <vt:lpstr>Uniformes</vt:lpstr>
      <vt:lpstr>Materiais</vt:lpstr>
      <vt:lpstr>Equipamentos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Licitação - Reitoria</cp:lastModifiedBy>
  <cp:revision>3</cp:revision>
  <dcterms:created xsi:type="dcterms:W3CDTF">2019-02-19T21:25:00Z</dcterms:created>
  <cp:lastPrinted>2020-02-20T19:26:00Z</cp:lastPrinted>
  <dcterms:modified xsi:type="dcterms:W3CDTF">2022-09-06T12:42:27Z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1046-11.2.0.11306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18A9162D54AB41E494E9D3AFCF4BAAD2</vt:lpwstr>
  </property>
</Properties>
</file>